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K21 Product\01 X21\"/>
    </mc:Choice>
  </mc:AlternateContent>
  <xr:revisionPtr revIDLastSave="0" documentId="13_ncr:1_{FA2D9311-4025-4DBF-9953-3EB24EAADA4B}" xr6:coauthVersionLast="47" xr6:coauthVersionMax="47" xr10:uidLastSave="{00000000-0000-0000-0000-000000000000}"/>
  <bookViews>
    <workbookView xWindow="-120" yWindow="-120" windowWidth="29040" windowHeight="15720" xr2:uid="{47C81C4E-609B-4E1F-9BFF-5579A6C9822F}"/>
  </bookViews>
  <sheets>
    <sheet name="Welcome" sheetId="6" r:id="rId1"/>
    <sheet name="Enable editing" sheetId="8" r:id="rId2"/>
    <sheet name="VLOOKUP Simple" sheetId="4" r:id="rId3"/>
    <sheet name="Next" sheetId="7" r:id="rId4"/>
    <sheet name="Ideas" sheetId="2" r:id="rId5"/>
    <sheet name="Extract info" sheetId="3" r:id="rId6"/>
    <sheet name="Ammortization" sheetId="5" r:id="rId7"/>
    <sheet name="VLOOKUP Professional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6" l="1"/>
  <c r="D12" i="8"/>
  <c r="E20" i="4"/>
  <c r="F9" i="7"/>
  <c r="L10" i="4"/>
  <c r="L11" i="4" s="1"/>
  <c r="L12" i="4" s="1"/>
  <c r="L13" i="4" s="1"/>
  <c r="L14" i="4" s="1"/>
  <c r="L15" i="4" s="1"/>
  <c r="L16" i="4" s="1"/>
  <c r="L17" i="4" s="1"/>
  <c r="L18" i="4" s="1"/>
  <c r="L19" i="4" s="1"/>
  <c r="A5" i="2"/>
  <c r="A4" i="2"/>
  <c r="A6" i="2"/>
  <c r="B6" i="2"/>
  <c r="F5" i="2"/>
  <c r="E5" i="2"/>
  <c r="D5" i="2"/>
  <c r="C5" i="2"/>
  <c r="B4" i="2"/>
  <c r="A1" i="2"/>
  <c r="C219" i="1"/>
  <c r="Q218" i="1"/>
  <c r="S213" i="1"/>
  <c r="G203" i="1"/>
  <c r="C203" i="1"/>
  <c r="G201" i="1"/>
  <c r="M196" i="1"/>
  <c r="C195" i="1"/>
  <c r="C188" i="1"/>
  <c r="I179" i="1" a="1"/>
  <c r="I179" i="1" s="1"/>
  <c r="M172" i="1"/>
  <c r="L162" i="1"/>
  <c r="G207" i="1"/>
  <c r="G206" i="1"/>
  <c r="C206" i="1"/>
  <c r="Q150" i="1"/>
  <c r="N149" i="1"/>
  <c r="O142" i="1"/>
  <c r="P142" i="1" s="1"/>
  <c r="Q142" i="1" s="1"/>
  <c r="R142" i="1" s="1"/>
  <c r="O141" i="1"/>
  <c r="O115" i="1"/>
  <c r="P115" i="1" s="1"/>
  <c r="Q115" i="1" s="1"/>
  <c r="M106" i="1"/>
  <c r="C105" i="1"/>
  <c r="O97" i="1"/>
  <c r="C93" i="1"/>
  <c r="N90" i="1"/>
  <c r="C90" i="1"/>
  <c r="P87" i="1"/>
  <c r="G212" i="1"/>
  <c r="C87" i="1"/>
  <c r="S86" i="1"/>
  <c r="S87" i="1" s="1"/>
  <c r="R86" i="1"/>
  <c r="R87" i="1" s="1"/>
  <c r="Q86" i="1"/>
  <c r="Q87" i="1" s="1"/>
  <c r="P86" i="1"/>
  <c r="O86" i="1"/>
  <c r="O87" i="1" s="1"/>
  <c r="N86" i="1"/>
  <c r="G211" i="1"/>
  <c r="C83" i="1"/>
  <c r="M72" i="1"/>
  <c r="C148" i="1"/>
  <c r="K60" i="1"/>
  <c r="U59" i="1"/>
  <c r="U150" i="1" s="1"/>
  <c r="R150" i="1"/>
  <c r="P150" i="1"/>
  <c r="N150" i="1"/>
  <c r="M150" i="1"/>
  <c r="L150" i="1"/>
  <c r="K150" i="1"/>
  <c r="R60" i="1"/>
  <c r="Q60" i="1"/>
  <c r="P149" i="1"/>
  <c r="O149" i="1"/>
  <c r="O90" i="1"/>
  <c r="M149" i="1"/>
  <c r="L149" i="1"/>
  <c r="K149" i="1"/>
  <c r="C149" i="1"/>
  <c r="M165" i="1"/>
  <c r="L165" i="1"/>
  <c r="K165" i="1"/>
  <c r="C165" i="1"/>
  <c r="M164" i="1"/>
  <c r="L118" i="1"/>
  <c r="K164" i="1"/>
  <c r="S163" i="1"/>
  <c r="U163" i="1" s="1"/>
  <c r="R163" i="1"/>
  <c r="P163" i="1"/>
  <c r="O163" i="1"/>
  <c r="N163" i="1"/>
  <c r="N80" i="1" s="1"/>
  <c r="L163" i="1"/>
  <c r="C189" i="1"/>
  <c r="C187" i="1" s="1"/>
  <c r="K155" i="1"/>
  <c r="C86" i="1"/>
  <c r="C176" i="1" s="1"/>
  <c r="M162" i="1"/>
  <c r="K162" i="1"/>
  <c r="C162" i="1"/>
  <c r="M161" i="1"/>
  <c r="L161" i="1"/>
  <c r="K161" i="1"/>
  <c r="C161" i="1"/>
  <c r="M160" i="1"/>
  <c r="L160" i="1"/>
  <c r="C77" i="1"/>
  <c r="N41" i="1"/>
  <c r="L151" i="1"/>
  <c r="K119" i="1"/>
  <c r="G208" i="1"/>
  <c r="C208" i="1"/>
  <c r="M39" i="1"/>
  <c r="C39" i="1"/>
  <c r="C202" i="1"/>
  <c r="C28" i="1"/>
  <c r="P26" i="1"/>
  <c r="N26" i="1"/>
  <c r="L115" i="1"/>
  <c r="K115" i="1"/>
  <c r="U25" i="1"/>
  <c r="C23" i="1"/>
  <c r="C76" i="1"/>
  <c r="C201" i="1"/>
  <c r="C200" i="1"/>
  <c r="S165" i="1"/>
  <c r="R165" i="1"/>
  <c r="R55" i="1" s="1"/>
  <c r="O165" i="1"/>
  <c r="O55" i="1" s="1"/>
  <c r="M14" i="1"/>
  <c r="R199" i="1"/>
  <c r="R123" i="1"/>
  <c r="O123" i="1"/>
  <c r="N162" i="1"/>
  <c r="N79" i="1" s="1"/>
  <c r="L14" i="1"/>
  <c r="L15" i="1" s="1"/>
  <c r="C199" i="1"/>
  <c r="O8" i="1"/>
  <c r="P8" i="1" s="1"/>
  <c r="L8" i="1"/>
  <c r="L39" i="1" s="1"/>
  <c r="C72" i="1"/>
  <c r="A7" i="1"/>
  <c r="Q149" i="1" l="1"/>
  <c r="N60" i="1"/>
  <c r="N123" i="1"/>
  <c r="U17" i="1"/>
  <c r="M60" i="1"/>
  <c r="M123" i="1"/>
  <c r="P60" i="1"/>
  <c r="S80" i="1"/>
  <c r="C82" i="1"/>
  <c r="L110" i="1"/>
  <c r="L45" i="1"/>
  <c r="P80" i="1"/>
  <c r="R14" i="1"/>
  <c r="R15" i="1" s="1"/>
  <c r="P90" i="1"/>
  <c r="L11" i="1"/>
  <c r="K8" i="1"/>
  <c r="M11" i="1"/>
  <c r="L18" i="1"/>
  <c r="L22" i="1" s="1"/>
  <c r="Q90" i="1"/>
  <c r="C32" i="1"/>
  <c r="C155" i="1"/>
  <c r="C207" i="1" s="1"/>
  <c r="C218" i="1"/>
  <c r="O11" i="1"/>
  <c r="M115" i="1"/>
  <c r="C78" i="1"/>
  <c r="N11" i="1"/>
  <c r="N14" i="1"/>
  <c r="N124" i="1" s="1"/>
  <c r="O26" i="1"/>
  <c r="L60" i="1"/>
  <c r="C79" i="1"/>
  <c r="U91" i="1"/>
  <c r="K118" i="1"/>
  <c r="U165" i="1"/>
  <c r="S55" i="1"/>
  <c r="L111" i="1"/>
  <c r="L27" i="1"/>
  <c r="L23" i="1"/>
  <c r="P172" i="1"/>
  <c r="P196" i="1"/>
  <c r="O210" i="1" s="1"/>
  <c r="Q8" i="1"/>
  <c r="P39" i="1"/>
  <c r="P72" i="1"/>
  <c r="P106" i="1"/>
  <c r="M124" i="1"/>
  <c r="M15" i="1"/>
  <c r="M18" i="1"/>
  <c r="S90" i="1"/>
  <c r="U58" i="1"/>
  <c r="P162" i="1"/>
  <c r="P199" i="1"/>
  <c r="P123" i="1"/>
  <c r="L155" i="1"/>
  <c r="L48" i="1"/>
  <c r="L50" i="1" s="1"/>
  <c r="L138" i="1" s="1"/>
  <c r="Q165" i="1"/>
  <c r="Q55" i="1" s="1"/>
  <c r="C80" i="1"/>
  <c r="C163" i="1"/>
  <c r="C150" i="1"/>
  <c r="C91" i="1"/>
  <c r="L164" i="1"/>
  <c r="S199" i="1"/>
  <c r="S11" i="1"/>
  <c r="S123" i="1"/>
  <c r="S14" i="1"/>
  <c r="S162" i="1"/>
  <c r="L72" i="1"/>
  <c r="C164" i="1"/>
  <c r="C81" i="1"/>
  <c r="K56" i="1"/>
  <c r="K163" i="1"/>
  <c r="Q26" i="1"/>
  <c r="R115" i="1"/>
  <c r="S149" i="1"/>
  <c r="Q199" i="1"/>
  <c r="Q11" i="1"/>
  <c r="Q123" i="1"/>
  <c r="Q162" i="1"/>
  <c r="L56" i="1"/>
  <c r="P141" i="1"/>
  <c r="Q141" i="1" s="1"/>
  <c r="R141" i="1" s="1"/>
  <c r="S141" i="1" s="1"/>
  <c r="M119" i="1"/>
  <c r="M151" i="1"/>
  <c r="M45" i="1"/>
  <c r="M110" i="1"/>
  <c r="S60" i="1"/>
  <c r="O72" i="1"/>
  <c r="M118" i="1"/>
  <c r="S142" i="1"/>
  <c r="O80" i="1"/>
  <c r="P165" i="1"/>
  <c r="P55" i="1" s="1"/>
  <c r="P82" i="1" s="1"/>
  <c r="U13" i="1"/>
  <c r="N87" i="1"/>
  <c r="U86" i="1"/>
  <c r="U87" i="1" s="1"/>
  <c r="O60" i="1"/>
  <c r="O150" i="1"/>
  <c r="N44" i="1"/>
  <c r="L196" i="1"/>
  <c r="L106" i="1"/>
  <c r="L172" i="1"/>
  <c r="N8" i="1"/>
  <c r="P14" i="1"/>
  <c r="C75" i="1"/>
  <c r="O143" i="1"/>
  <c r="N144" i="1"/>
  <c r="R149" i="1"/>
  <c r="R90" i="1"/>
  <c r="U90" i="1" s="1"/>
  <c r="M155" i="1"/>
  <c r="M48" i="1"/>
  <c r="L19" i="1"/>
  <c r="U10" i="1"/>
  <c r="P11" i="1"/>
  <c r="A38" i="1"/>
  <c r="A71" i="1" s="1"/>
  <c r="K14" i="1"/>
  <c r="K11" i="1"/>
  <c r="K123" i="1"/>
  <c r="Q14" i="1"/>
  <c r="Q163" i="1"/>
  <c r="Q80" i="1" s="1"/>
  <c r="N165" i="1"/>
  <c r="N55" i="1" s="1"/>
  <c r="N82" i="1" s="1"/>
  <c r="L119" i="1"/>
  <c r="N99" i="1"/>
  <c r="N151" i="1"/>
  <c r="N208" i="1"/>
  <c r="M56" i="1"/>
  <c r="L124" i="1"/>
  <c r="R18" i="1"/>
  <c r="R124" i="1"/>
  <c r="K160" i="1"/>
  <c r="K45" i="1"/>
  <c r="O106" i="1"/>
  <c r="O39" i="1"/>
  <c r="O172" i="1"/>
  <c r="O196" i="1"/>
  <c r="C172" i="1"/>
  <c r="R162" i="1"/>
  <c r="O14" i="1"/>
  <c r="C106" i="1"/>
  <c r="L123" i="1"/>
  <c r="S150" i="1"/>
  <c r="U176" i="1"/>
  <c r="N187" i="1"/>
  <c r="K151" i="1"/>
  <c r="M163" i="1"/>
  <c r="M166" i="1" s="1"/>
  <c r="N199" i="1"/>
  <c r="O199" i="1"/>
  <c r="K48" i="1"/>
  <c r="C159" i="1"/>
  <c r="C166" i="1" s="1"/>
  <c r="R11" i="1"/>
  <c r="C160" i="1"/>
  <c r="C196" i="1"/>
  <c r="U53" i="1"/>
  <c r="X163" i="1" s="1"/>
  <c r="O162" i="1"/>
  <c r="E18" i="4" l="1"/>
  <c r="K72" i="1"/>
  <c r="K106" i="1"/>
  <c r="K172" i="1"/>
  <c r="K39" i="1"/>
  <c r="K196" i="1"/>
  <c r="N18" i="1"/>
  <c r="N15" i="1"/>
  <c r="K166" i="1"/>
  <c r="K167" i="1" s="1"/>
  <c r="Q79" i="1"/>
  <c r="P44" i="1"/>
  <c r="U149" i="1"/>
  <c r="U60" i="1"/>
  <c r="L28" i="1"/>
  <c r="L31" i="1"/>
  <c r="M125" i="1"/>
  <c r="M22" i="1"/>
  <c r="M19" i="1"/>
  <c r="R26" i="1"/>
  <c r="S115" i="1"/>
  <c r="S26" i="1" s="1"/>
  <c r="K120" i="1"/>
  <c r="K154" i="1"/>
  <c r="K156" i="1" s="1"/>
  <c r="M50" i="1"/>
  <c r="S82" i="1"/>
  <c r="U55" i="1"/>
  <c r="R79" i="1"/>
  <c r="Q44" i="1"/>
  <c r="X165" i="1"/>
  <c r="N210" i="1"/>
  <c r="M210" i="1"/>
  <c r="O187" i="1"/>
  <c r="R200" i="1"/>
  <c r="R19" i="1"/>
  <c r="R201" i="1" s="1"/>
  <c r="R110" i="1"/>
  <c r="Q82" i="1"/>
  <c r="R82" i="1"/>
  <c r="O82" i="1"/>
  <c r="U82" i="1" s="1"/>
  <c r="O44" i="1"/>
  <c r="P79" i="1"/>
  <c r="P143" i="1"/>
  <c r="O144" i="1"/>
  <c r="K124" i="1"/>
  <c r="K18" i="1"/>
  <c r="X18" i="1" s="1"/>
  <c r="K15" i="1"/>
  <c r="X14" i="1"/>
  <c r="R44" i="1"/>
  <c r="S79" i="1"/>
  <c r="L62" i="1"/>
  <c r="Q106" i="1"/>
  <c r="Q172" i="1"/>
  <c r="Q72" i="1"/>
  <c r="R8" i="1"/>
  <c r="Q196" i="1"/>
  <c r="P210" i="1" s="1"/>
  <c r="Q39" i="1"/>
  <c r="N200" i="1"/>
  <c r="N19" i="1"/>
  <c r="N201" i="1" s="1"/>
  <c r="N110" i="1"/>
  <c r="N125" i="1"/>
  <c r="L154" i="1"/>
  <c r="L156" i="1" s="1"/>
  <c r="L120" i="1"/>
  <c r="K50" i="1"/>
  <c r="O124" i="1"/>
  <c r="O15" i="1"/>
  <c r="O18" i="1"/>
  <c r="L145" i="1"/>
  <c r="A105" i="1"/>
  <c r="P15" i="1"/>
  <c r="P124" i="1"/>
  <c r="P18" i="1"/>
  <c r="S44" i="1"/>
  <c r="U44" i="1" s="1"/>
  <c r="U162" i="1"/>
  <c r="X162" i="1" s="1"/>
  <c r="Q124" i="1"/>
  <c r="Q18" i="1"/>
  <c r="Q15" i="1"/>
  <c r="M120" i="1"/>
  <c r="M154" i="1"/>
  <c r="M156" i="1" s="1"/>
  <c r="L166" i="1"/>
  <c r="L167" i="1" s="1"/>
  <c r="O79" i="1"/>
  <c r="R80" i="1"/>
  <c r="U80" i="1" s="1"/>
  <c r="U14" i="1"/>
  <c r="N106" i="1"/>
  <c r="N172" i="1"/>
  <c r="N196" i="1"/>
  <c r="N39" i="1"/>
  <c r="N72" i="1"/>
  <c r="S124" i="1"/>
  <c r="S15" i="1"/>
  <c r="S18" i="1"/>
  <c r="U26" i="1" l="1"/>
  <c r="M167" i="1"/>
  <c r="U79" i="1"/>
  <c r="M126" i="1"/>
  <c r="M27" i="1"/>
  <c r="M111" i="1"/>
  <c r="M23" i="1"/>
  <c r="K128" i="1"/>
  <c r="K62" i="1"/>
  <c r="L136" i="1" s="1"/>
  <c r="K138" i="1"/>
  <c r="R39" i="1"/>
  <c r="R172" i="1"/>
  <c r="R72" i="1"/>
  <c r="R196" i="1"/>
  <c r="Q210" i="1" s="1"/>
  <c r="S8" i="1"/>
  <c r="U7" i="1" s="1"/>
  <c r="R106" i="1"/>
  <c r="Q143" i="1"/>
  <c r="P144" i="1"/>
  <c r="S125" i="1"/>
  <c r="S200" i="1"/>
  <c r="S19" i="1"/>
  <c r="S201" i="1" s="1"/>
  <c r="L64" i="1"/>
  <c r="L65" i="1" s="1"/>
  <c r="L148" i="1"/>
  <c r="M62" i="1"/>
  <c r="M128" i="1"/>
  <c r="M138" i="1"/>
  <c r="P200" i="1"/>
  <c r="P19" i="1"/>
  <c r="P201" i="1" s="1"/>
  <c r="P125" i="1"/>
  <c r="P110" i="1"/>
  <c r="L112" i="1"/>
  <c r="L135" i="1"/>
  <c r="L32" i="1"/>
  <c r="P187" i="1"/>
  <c r="S110" i="1"/>
  <c r="O125" i="1"/>
  <c r="O200" i="1"/>
  <c r="O19" i="1"/>
  <c r="O201" i="1" s="1"/>
  <c r="Q125" i="1"/>
  <c r="Q200" i="1"/>
  <c r="Q19" i="1"/>
  <c r="Q201" i="1" s="1"/>
  <c r="Q110" i="1"/>
  <c r="O110" i="1"/>
  <c r="L128" i="1"/>
  <c r="K19" i="1"/>
  <c r="K22" i="1"/>
  <c r="K125" i="1"/>
  <c r="L125" i="1"/>
  <c r="K110" i="1"/>
  <c r="R125" i="1"/>
  <c r="U18" i="1"/>
  <c r="U15" i="1"/>
  <c r="A171" i="1"/>
  <c r="A195" i="1" s="1"/>
  <c r="L129" i="1" l="1"/>
  <c r="U171" i="1"/>
  <c r="U71" i="1"/>
  <c r="U105" i="1"/>
  <c r="U38" i="1"/>
  <c r="U11" i="1"/>
  <c r="U123" i="1"/>
  <c r="U124" i="1"/>
  <c r="M129" i="1"/>
  <c r="M64" i="1"/>
  <c r="M65" i="1" s="1"/>
  <c r="M148" i="1"/>
  <c r="S106" i="1"/>
  <c r="S172" i="1"/>
  <c r="S196" i="1"/>
  <c r="R210" i="1" s="1"/>
  <c r="S39" i="1"/>
  <c r="S72" i="1"/>
  <c r="U8" i="1"/>
  <c r="Q187" i="1"/>
  <c r="K126" i="1"/>
  <c r="K23" i="1"/>
  <c r="K111" i="1"/>
  <c r="K27" i="1"/>
  <c r="L126" i="1"/>
  <c r="K129" i="1"/>
  <c r="K64" i="1"/>
  <c r="K65" i="1" s="1"/>
  <c r="K148" i="1"/>
  <c r="R143" i="1"/>
  <c r="Q144" i="1"/>
  <c r="U125" i="1"/>
  <c r="M28" i="1"/>
  <c r="M31" i="1"/>
  <c r="M145" i="1"/>
  <c r="O145" i="1" s="1"/>
  <c r="P145" i="1" s="1"/>
  <c r="Q145" i="1" s="1"/>
  <c r="R145" i="1" s="1"/>
  <c r="L152" i="1"/>
  <c r="L114" i="1"/>
  <c r="U19" i="1"/>
  <c r="U110" i="1"/>
  <c r="M152" i="1" l="1"/>
  <c r="M114" i="1"/>
  <c r="U145" i="1"/>
  <c r="S145" i="1"/>
  <c r="M136" i="1"/>
  <c r="M127" i="1"/>
  <c r="M112" i="1"/>
  <c r="M32" i="1"/>
  <c r="M135" i="1"/>
  <c r="L157" i="1"/>
  <c r="K28" i="1"/>
  <c r="K145" i="1"/>
  <c r="K31" i="1"/>
  <c r="R187" i="1"/>
  <c r="L113" i="1"/>
  <c r="S143" i="1"/>
  <c r="R144" i="1"/>
  <c r="K114" i="1"/>
  <c r="K152" i="1"/>
  <c r="U106" i="1"/>
  <c r="U72" i="1"/>
  <c r="U172" i="1"/>
  <c r="U39" i="1"/>
  <c r="C179" i="1" a="1"/>
  <c r="S184" i="1" s="1"/>
  <c r="U184" i="1" s="1"/>
  <c r="S187" i="1" l="1"/>
  <c r="K112" i="1"/>
  <c r="K136" i="1"/>
  <c r="K127" i="1"/>
  <c r="K135" i="1"/>
  <c r="K32" i="1"/>
  <c r="L127" i="1"/>
  <c r="M113" i="1"/>
  <c r="S182" i="1"/>
  <c r="S180" i="1"/>
  <c r="S144" i="1"/>
  <c r="L134" i="1"/>
  <c r="K157" i="1"/>
  <c r="K134" i="1"/>
  <c r="K133" i="1"/>
  <c r="L133" i="1"/>
  <c r="C179" i="1"/>
  <c r="P180" i="1"/>
  <c r="O180" i="1"/>
  <c r="P181" i="1"/>
  <c r="Q182" i="1"/>
  <c r="Q181" i="1"/>
  <c r="Q180" i="1"/>
  <c r="R181" i="1"/>
  <c r="R180" i="1"/>
  <c r="R183" i="1"/>
  <c r="U183" i="1" s="1"/>
  <c r="R182" i="1"/>
  <c r="M157" i="1"/>
  <c r="M134" i="1"/>
  <c r="S183" i="1"/>
  <c r="K113" i="1"/>
  <c r="M133" i="1"/>
  <c r="S181" i="1"/>
  <c r="U182" i="1" l="1"/>
  <c r="O179" i="1"/>
  <c r="O185" i="1" s="1"/>
  <c r="P179" i="1"/>
  <c r="P185" i="1" s="1"/>
  <c r="Q179" i="1"/>
  <c r="Q185" i="1" s="1"/>
  <c r="N179" i="1"/>
  <c r="R179" i="1"/>
  <c r="R185" i="1" s="1"/>
  <c r="S179" i="1"/>
  <c r="S185" i="1" s="1"/>
  <c r="U180" i="1"/>
  <c r="U187" i="1"/>
  <c r="U181" i="1"/>
  <c r="S21" i="1" l="1"/>
  <c r="R21" i="1"/>
  <c r="N185" i="1"/>
  <c r="U179" i="1"/>
  <c r="U185" i="1" s="1"/>
  <c r="P21" i="1"/>
  <c r="Q21" i="1"/>
  <c r="O21" i="1"/>
  <c r="Q76" i="1" l="1"/>
  <c r="Q22" i="1"/>
  <c r="O76" i="1"/>
  <c r="O22" i="1"/>
  <c r="N188" i="1"/>
  <c r="N21" i="1"/>
  <c r="S76" i="1"/>
  <c r="S22" i="1"/>
  <c r="P76" i="1"/>
  <c r="P22" i="1"/>
  <c r="R76" i="1"/>
  <c r="R22" i="1"/>
  <c r="P111" i="1" l="1"/>
  <c r="P27" i="1"/>
  <c r="P126" i="1"/>
  <c r="P23" i="1"/>
  <c r="N76" i="1"/>
  <c r="U76" i="1" s="1"/>
  <c r="U21" i="1"/>
  <c r="N22" i="1"/>
  <c r="X22" i="1"/>
  <c r="R23" i="1"/>
  <c r="R126" i="1"/>
  <c r="R27" i="1"/>
  <c r="R111" i="1"/>
  <c r="S111" i="1"/>
  <c r="S27" i="1"/>
  <c r="S126" i="1"/>
  <c r="S23" i="1"/>
  <c r="N189" i="1"/>
  <c r="N47" i="1" s="1"/>
  <c r="O188" i="1"/>
  <c r="O23" i="1"/>
  <c r="O126" i="1"/>
  <c r="O27" i="1"/>
  <c r="O111" i="1"/>
  <c r="U126" i="1"/>
  <c r="Q111" i="1"/>
  <c r="Q27" i="1"/>
  <c r="Q126" i="1"/>
  <c r="Q23" i="1"/>
  <c r="X76" i="1" l="1"/>
  <c r="Q30" i="1"/>
  <c r="Q28" i="1"/>
  <c r="Q31" i="1"/>
  <c r="S30" i="1"/>
  <c r="S31" i="1" s="1"/>
  <c r="S28" i="1"/>
  <c r="O30" i="1"/>
  <c r="O31" i="1"/>
  <c r="O28" i="1"/>
  <c r="R30" i="1"/>
  <c r="R31" i="1" s="1"/>
  <c r="R28" i="1"/>
  <c r="N111" i="1"/>
  <c r="N126" i="1"/>
  <c r="N27" i="1"/>
  <c r="N23" i="1"/>
  <c r="X21" i="1"/>
  <c r="U22" i="1"/>
  <c r="P30" i="1"/>
  <c r="P28" i="1"/>
  <c r="P31" i="1"/>
  <c r="O189" i="1"/>
  <c r="O47" i="1" s="1"/>
  <c r="P188" i="1"/>
  <c r="N155" i="1"/>
  <c r="N207" i="1" s="1"/>
  <c r="N48" i="1"/>
  <c r="R202" i="1" l="1"/>
  <c r="R112" i="1"/>
  <c r="R127" i="1"/>
  <c r="R75" i="1"/>
  <c r="R32" i="1"/>
  <c r="S32" i="1"/>
  <c r="S202" i="1"/>
  <c r="S127" i="1"/>
  <c r="S75" i="1"/>
  <c r="S112" i="1"/>
  <c r="N30" i="1"/>
  <c r="U30" i="1" s="1"/>
  <c r="N28" i="1"/>
  <c r="P189" i="1"/>
  <c r="P47" i="1" s="1"/>
  <c r="Q188" i="1"/>
  <c r="U27" i="1"/>
  <c r="U111" i="1"/>
  <c r="U23" i="1"/>
  <c r="Q127" i="1"/>
  <c r="Q75" i="1"/>
  <c r="Q202" i="1"/>
  <c r="Q112" i="1"/>
  <c r="Q32" i="1"/>
  <c r="O155" i="1"/>
  <c r="O207" i="1" s="1"/>
  <c r="O48" i="1"/>
  <c r="P127" i="1"/>
  <c r="P75" i="1"/>
  <c r="P32" i="1"/>
  <c r="P202" i="1"/>
  <c r="P112" i="1"/>
  <c r="O112" i="1"/>
  <c r="O127" i="1"/>
  <c r="O75" i="1"/>
  <c r="O202" i="1"/>
  <c r="U127" i="1"/>
  <c r="O32" i="1"/>
  <c r="X27" i="1"/>
  <c r="Q93" i="1" l="1"/>
  <c r="S93" i="1"/>
  <c r="U31" i="1"/>
  <c r="U28" i="1"/>
  <c r="P155" i="1"/>
  <c r="P207" i="1" s="1"/>
  <c r="P48" i="1"/>
  <c r="Q189" i="1"/>
  <c r="Q47" i="1" s="1"/>
  <c r="R188" i="1"/>
  <c r="R93" i="1"/>
  <c r="N31" i="1"/>
  <c r="P93" i="1"/>
  <c r="N112" i="1" l="1"/>
  <c r="X33" i="1"/>
  <c r="N127" i="1"/>
  <c r="N75" i="1"/>
  <c r="N202" i="1"/>
  <c r="N32" i="1"/>
  <c r="X31" i="1"/>
  <c r="U112" i="1"/>
  <c r="U32" i="1"/>
  <c r="Q155" i="1"/>
  <c r="Q207" i="1" s="1"/>
  <c r="Q48" i="1"/>
  <c r="O93" i="1"/>
  <c r="X93" i="1" s="1"/>
  <c r="R189" i="1"/>
  <c r="R47" i="1" s="1"/>
  <c r="S188" i="1"/>
  <c r="U188" i="1" l="1"/>
  <c r="S189" i="1"/>
  <c r="S47" i="1" s="1"/>
  <c r="U75" i="1"/>
  <c r="R155" i="1"/>
  <c r="R207" i="1" s="1"/>
  <c r="R48" i="1"/>
  <c r="U92" i="1" l="1"/>
  <c r="U93" i="1" s="1"/>
  <c r="N93" i="1"/>
  <c r="X75" i="1"/>
  <c r="S155" i="1"/>
  <c r="S207" i="1" s="1"/>
  <c r="S48" i="1"/>
  <c r="X188" i="1"/>
  <c r="X189" i="1"/>
  <c r="U189" i="1"/>
  <c r="U47" i="1" s="1"/>
  <c r="U155" i="1" l="1"/>
  <c r="U48" i="1"/>
  <c r="N105" i="1" l="1"/>
  <c r="N107" i="1" s="1"/>
  <c r="N171" i="1"/>
  <c r="N195" i="1"/>
  <c r="N38" i="1"/>
  <c r="N71" i="1"/>
  <c r="P171" i="1"/>
  <c r="P105" i="1"/>
  <c r="P107" i="1" s="1"/>
  <c r="P38" i="1"/>
  <c r="P195" i="1"/>
  <c r="P71" i="1"/>
  <c r="O105" i="1"/>
  <c r="O107" i="1" s="1"/>
  <c r="O71" i="1"/>
  <c r="O195" i="1"/>
  <c r="O171" i="1"/>
  <c r="O38" i="1"/>
  <c r="O161" i="1" l="1"/>
  <c r="O160" i="1"/>
  <c r="O164" i="1"/>
  <c r="O54" i="1" s="1"/>
  <c r="M38" i="1"/>
  <c r="M171" i="1"/>
  <c r="M71" i="1"/>
  <c r="M195" i="1"/>
  <c r="M105" i="1"/>
  <c r="M107" i="1" s="1"/>
  <c r="P161" i="1"/>
  <c r="P160" i="1"/>
  <c r="P164" i="1"/>
  <c r="P54" i="1" s="1"/>
  <c r="Q105" i="1"/>
  <c r="Q107" i="1" s="1"/>
  <c r="Q38" i="1"/>
  <c r="Q171" i="1"/>
  <c r="Q195" i="1"/>
  <c r="Q71" i="1"/>
  <c r="N160" i="1"/>
  <c r="N164" i="1"/>
  <c r="N54" i="1" s="1"/>
  <c r="N161" i="1"/>
  <c r="L105" i="1" l="1"/>
  <c r="L107" i="1" s="1"/>
  <c r="L171" i="1"/>
  <c r="L71" i="1"/>
  <c r="L195" i="1"/>
  <c r="L38" i="1"/>
  <c r="P166" i="1"/>
  <c r="P42" i="1"/>
  <c r="R105" i="1"/>
  <c r="R107" i="1" s="1"/>
  <c r="R38" i="1"/>
  <c r="R171" i="1"/>
  <c r="R71" i="1"/>
  <c r="R195" i="1"/>
  <c r="Q161" i="1"/>
  <c r="Q160" i="1"/>
  <c r="Q164" i="1"/>
  <c r="Q54" i="1" s="1"/>
  <c r="P81" i="1"/>
  <c r="P56" i="1"/>
  <c r="M141" i="1"/>
  <c r="M143" i="1"/>
  <c r="M142" i="1"/>
  <c r="N78" i="1"/>
  <c r="O78" i="1"/>
  <c r="N43" i="1"/>
  <c r="O81" i="1"/>
  <c r="O56" i="1"/>
  <c r="N81" i="1"/>
  <c r="N56" i="1"/>
  <c r="N118" i="1"/>
  <c r="O42" i="1"/>
  <c r="O166" i="1"/>
  <c r="P77" i="1"/>
  <c r="P83" i="1" s="1"/>
  <c r="P95" i="1" s="1"/>
  <c r="P43" i="1"/>
  <c r="N42" i="1"/>
  <c r="N166" i="1"/>
  <c r="O77" i="1"/>
  <c r="N77" i="1"/>
  <c r="O43" i="1"/>
  <c r="P78" i="1"/>
  <c r="Q166" i="1" l="1"/>
  <c r="Q42" i="1"/>
  <c r="O154" i="1"/>
  <c r="Q81" i="1"/>
  <c r="Q56" i="1"/>
  <c r="N83" i="1"/>
  <c r="N95" i="1" s="1"/>
  <c r="N97" i="1" s="1"/>
  <c r="U97" i="1" s="1"/>
  <c r="O83" i="1"/>
  <c r="N154" i="1"/>
  <c r="N120" i="1"/>
  <c r="N167" i="1"/>
  <c r="M144" i="1"/>
  <c r="Q77" i="1"/>
  <c r="N119" i="1"/>
  <c r="N45" i="1"/>
  <c r="N50" i="1" s="1"/>
  <c r="Q43" i="1"/>
  <c r="R161" i="1"/>
  <c r="R78" i="1" s="1"/>
  <c r="R160" i="1"/>
  <c r="R77" i="1" s="1"/>
  <c r="R164" i="1"/>
  <c r="R54" i="1" s="1"/>
  <c r="Q78" i="1"/>
  <c r="P154" i="1"/>
  <c r="L142" i="1"/>
  <c r="L141" i="1"/>
  <c r="L143" i="1"/>
  <c r="N206" i="1" l="1"/>
  <c r="N156" i="1"/>
  <c r="Q154" i="1"/>
  <c r="Q167" i="1" s="1"/>
  <c r="L144" i="1"/>
  <c r="O156" i="1"/>
  <c r="O206" i="1"/>
  <c r="R43" i="1"/>
  <c r="N128" i="1"/>
  <c r="N138" i="1"/>
  <c r="N62" i="1"/>
  <c r="N135" i="1"/>
  <c r="K171" i="1"/>
  <c r="K195" i="1"/>
  <c r="K105" i="1"/>
  <c r="K107" i="1" s="1"/>
  <c r="K38" i="1"/>
  <c r="K71" i="1"/>
  <c r="Q83" i="1"/>
  <c r="Q95" i="1" s="1"/>
  <c r="P156" i="1"/>
  <c r="P206" i="1"/>
  <c r="O95" i="1"/>
  <c r="O98" i="1" s="1"/>
  <c r="R81" i="1"/>
  <c r="R83" i="1" s="1"/>
  <c r="R95" i="1" s="1"/>
  <c r="R56" i="1"/>
  <c r="P167" i="1"/>
  <c r="R166" i="1"/>
  <c r="R42" i="1"/>
  <c r="S38" i="1"/>
  <c r="S171" i="1"/>
  <c r="S71" i="1"/>
  <c r="S195" i="1"/>
  <c r="S105" i="1"/>
  <c r="S107" i="1" s="1"/>
  <c r="O167" i="1"/>
  <c r="R154" i="1" l="1"/>
  <c r="Q156" i="1"/>
  <c r="Q206" i="1"/>
  <c r="U107" i="1"/>
  <c r="S161" i="1"/>
  <c r="S160" i="1"/>
  <c r="S164" i="1"/>
  <c r="K143" i="1"/>
  <c r="K141" i="1"/>
  <c r="K142" i="1"/>
  <c r="N148" i="1"/>
  <c r="N129" i="1"/>
  <c r="O62" i="1"/>
  <c r="O136" i="1" s="1"/>
  <c r="N64" i="1"/>
  <c r="N65" i="1" s="1"/>
  <c r="N136" i="1"/>
  <c r="O41" i="1"/>
  <c r="P97" i="1"/>
  <c r="P98" i="1" s="1"/>
  <c r="K144" i="1" l="1"/>
  <c r="O99" i="1"/>
  <c r="O151" i="1"/>
  <c r="O118" i="1"/>
  <c r="O45" i="1"/>
  <c r="O50" i="1" s="1"/>
  <c r="O208" i="1"/>
  <c r="O119" i="1"/>
  <c r="O120" i="1"/>
  <c r="U164" i="1"/>
  <c r="S54" i="1"/>
  <c r="U161" i="1"/>
  <c r="S43" i="1"/>
  <c r="U43" i="1" s="1"/>
  <c r="S78" i="1"/>
  <c r="U78" i="1" s="1"/>
  <c r="R156" i="1"/>
  <c r="R206" i="1"/>
  <c r="N152" i="1"/>
  <c r="N114" i="1"/>
  <c r="U160" i="1"/>
  <c r="S166" i="1"/>
  <c r="S42" i="1"/>
  <c r="U42" i="1" s="1"/>
  <c r="S77" i="1"/>
  <c r="P41" i="1"/>
  <c r="Q97" i="1"/>
  <c r="Q98" i="1" s="1"/>
  <c r="O129" i="1"/>
  <c r="O148" i="1"/>
  <c r="P62" i="1"/>
  <c r="O64" i="1"/>
  <c r="P136" i="1"/>
  <c r="R167" i="1"/>
  <c r="X161" i="1" l="1"/>
  <c r="N157" i="1"/>
  <c r="N134" i="1"/>
  <c r="N203" i="1" s="1"/>
  <c r="N133" i="1"/>
  <c r="P99" i="1"/>
  <c r="P151" i="1"/>
  <c r="P208" i="1"/>
  <c r="P119" i="1"/>
  <c r="P45" i="1"/>
  <c r="P50" i="1" s="1"/>
  <c r="P118" i="1"/>
  <c r="P120" i="1"/>
  <c r="U128" i="1"/>
  <c r="O65" i="1"/>
  <c r="O128" i="1"/>
  <c r="O138" i="1"/>
  <c r="O135" i="1"/>
  <c r="P148" i="1"/>
  <c r="Q62" i="1"/>
  <c r="P129" i="1"/>
  <c r="P64" i="1"/>
  <c r="Q136" i="1"/>
  <c r="O152" i="1"/>
  <c r="O114" i="1"/>
  <c r="S81" i="1"/>
  <c r="U81" i="1" s="1"/>
  <c r="U54" i="1"/>
  <c r="S56" i="1"/>
  <c r="R97" i="1"/>
  <c r="R98" i="1" s="1"/>
  <c r="Q41" i="1"/>
  <c r="X160" i="1"/>
  <c r="U166" i="1"/>
  <c r="U129" i="1"/>
  <c r="U77" i="1"/>
  <c r="N113" i="1"/>
  <c r="O157" i="1" l="1"/>
  <c r="Q151" i="1"/>
  <c r="Q118" i="1"/>
  <c r="Q208" i="1"/>
  <c r="Q119" i="1"/>
  <c r="Q45" i="1"/>
  <c r="Q50" i="1" s="1"/>
  <c r="Q135" i="1" s="1"/>
  <c r="Q99" i="1"/>
  <c r="Q120" i="1"/>
  <c r="O133" i="1"/>
  <c r="Q148" i="1"/>
  <c r="R62" i="1"/>
  <c r="Q129" i="1"/>
  <c r="Q64" i="1"/>
  <c r="O134" i="1"/>
  <c r="O203" i="1" s="1"/>
  <c r="S154" i="1"/>
  <c r="U56" i="1"/>
  <c r="P65" i="1"/>
  <c r="P128" i="1"/>
  <c r="P138" i="1"/>
  <c r="O113" i="1"/>
  <c r="U83" i="1"/>
  <c r="U95" i="1" s="1"/>
  <c r="U98" i="1" s="1"/>
  <c r="S83" i="1"/>
  <c r="R41" i="1"/>
  <c r="S97" i="1"/>
  <c r="X164" i="1"/>
  <c r="P152" i="1"/>
  <c r="P133" i="1" s="1"/>
  <c r="P114" i="1"/>
  <c r="P113" i="1"/>
  <c r="P135" i="1"/>
  <c r="R148" i="1" l="1"/>
  <c r="R129" i="1"/>
  <c r="R64" i="1"/>
  <c r="S62" i="1"/>
  <c r="S136" i="1"/>
  <c r="S95" i="1"/>
  <c r="S98" i="1" s="1"/>
  <c r="S41" i="1" s="1"/>
  <c r="X95" i="1"/>
  <c r="R45" i="1"/>
  <c r="R50" i="1" s="1"/>
  <c r="R208" i="1"/>
  <c r="R119" i="1"/>
  <c r="R151" i="1"/>
  <c r="R118" i="1"/>
  <c r="R99" i="1"/>
  <c r="R120" i="1"/>
  <c r="Q152" i="1"/>
  <c r="Q114" i="1"/>
  <c r="U154" i="1"/>
  <c r="X83" i="1"/>
  <c r="S156" i="1"/>
  <c r="S206" i="1"/>
  <c r="S167" i="1"/>
  <c r="P157" i="1"/>
  <c r="P134" i="1"/>
  <c r="P203" i="1" s="1"/>
  <c r="Q65" i="1"/>
  <c r="Q128" i="1"/>
  <c r="Q138" i="1"/>
  <c r="R136" i="1"/>
  <c r="Q157" i="1" l="1"/>
  <c r="S118" i="1"/>
  <c r="S208" i="1"/>
  <c r="S99" i="1"/>
  <c r="X99" i="1" s="1"/>
  <c r="S151" i="1"/>
  <c r="S45" i="1"/>
  <c r="S50" i="1" s="1"/>
  <c r="S119" i="1"/>
  <c r="U41" i="1"/>
  <c r="S120" i="1"/>
  <c r="Q133" i="1"/>
  <c r="Q113" i="1"/>
  <c r="Q134" i="1"/>
  <c r="Q203" i="1" s="1"/>
  <c r="R65" i="1"/>
  <c r="R128" i="1"/>
  <c r="R138" i="1"/>
  <c r="S148" i="1"/>
  <c r="U62" i="1"/>
  <c r="S129" i="1"/>
  <c r="S64" i="1"/>
  <c r="U156" i="1"/>
  <c r="U167" i="1"/>
  <c r="X167" i="1" s="1"/>
  <c r="R135" i="1"/>
  <c r="R152" i="1"/>
  <c r="R113" i="1" s="1"/>
  <c r="R114" i="1"/>
  <c r="R157" i="1" l="1"/>
  <c r="U118" i="1"/>
  <c r="U119" i="1"/>
  <c r="U151" i="1"/>
  <c r="U45" i="1"/>
  <c r="U99" i="1"/>
  <c r="U120" i="1"/>
  <c r="S128" i="1"/>
  <c r="S65" i="1"/>
  <c r="S138" i="1"/>
  <c r="R133" i="1"/>
  <c r="R134" i="1"/>
  <c r="R203" i="1" s="1"/>
  <c r="U148" i="1"/>
  <c r="U64" i="1"/>
  <c r="S152" i="1"/>
  <c r="S157" i="1" s="1"/>
  <c r="S114" i="1"/>
  <c r="S135" i="1"/>
  <c r="U50" i="1" l="1"/>
  <c r="S134" i="1"/>
  <c r="S203" i="1" s="1"/>
  <c r="S133" i="1"/>
  <c r="S113" i="1"/>
  <c r="U152" i="1"/>
  <c r="U157" i="1" s="1"/>
  <c r="X157" i="1" s="1"/>
  <c r="U114" i="1"/>
  <c r="U113" i="1" l="1"/>
  <c r="U65" i="1"/>
  <c r="X65" i="1" s="1"/>
  <c r="U138" i="1"/>
  <c r="O214" i="1" l="1"/>
  <c r="P214" i="1"/>
  <c r="Q214" i="1"/>
  <c r="R214" i="1" l="1"/>
  <c r="M214" i="1" l="1"/>
  <c r="N214" i="1"/>
  <c r="X3" i="1" l="1"/>
  <c r="S214" i="1" l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RICHVALUE" minSupportedVersion="120000" copy="1" pasteAll="1" pasteValues="1" merge="1" splitFirst="1" rowColShift="1" clearFormats="1" clearComments="1" assign="1" coerce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futureMetadata name="XLRICHVALUE" count="1">
    <bk>
      <extLst>
        <ext uri="{3e2802c4-a4d2-4d8b-9148-e3be6c30e623}">
          <xlrd:rvb i="0"/>
        </ext>
      </extLst>
    </bk>
  </futureMetadata>
  <cellMetadata count="1">
    <bk>
      <rc t="1" v="0"/>
    </bk>
  </cellMetadata>
  <valueMetadata count="1">
    <bk>
      <rc t="2" v="0"/>
    </bk>
  </valueMetadata>
</metadata>
</file>

<file path=xl/sharedStrings.xml><?xml version="1.0" encoding="utf-8"?>
<sst xmlns="http://schemas.openxmlformats.org/spreadsheetml/2006/main" count="341" uniqueCount="197">
  <si>
    <t>Financial Projections</t>
  </si>
  <si>
    <t>Income Statement</t>
    <phoneticPr fontId="0" type="noConversion"/>
  </si>
  <si>
    <t>Unit</t>
    <phoneticPr fontId="0" type="noConversion"/>
  </si>
  <si>
    <t xml:space="preserve"> </t>
  </si>
  <si>
    <t>%</t>
    <phoneticPr fontId="0" type="noConversion"/>
  </si>
  <si>
    <t>% of Revenue</t>
  </si>
  <si>
    <t>EBIT</t>
  </si>
  <si>
    <t>EBT</t>
  </si>
  <si>
    <t>Check</t>
    <phoneticPr fontId="0" type="noConversion"/>
  </si>
  <si>
    <t>Balance Sheet</t>
    <phoneticPr fontId="0" type="noConversion"/>
  </si>
  <si>
    <t>Assets</t>
  </si>
  <si>
    <t>Cash Flow Statement</t>
    <phoneticPr fontId="0" type="noConversion"/>
  </si>
  <si>
    <t>Cash Flow from Operations</t>
  </si>
  <si>
    <t>Cash Flow from Investments</t>
  </si>
  <si>
    <t>Cash Flow from Financing</t>
  </si>
  <si>
    <t>Dividends</t>
  </si>
  <si>
    <t>Change in Cash</t>
    <phoneticPr fontId="0" type="noConversion"/>
  </si>
  <si>
    <t>Cash Beginning</t>
  </si>
  <si>
    <t>Cash End</t>
  </si>
  <si>
    <t>Check</t>
  </si>
  <si>
    <t>Financial Ratios</t>
  </si>
  <si>
    <t>Days per Year</t>
  </si>
  <si>
    <t>Bank Ratios</t>
  </si>
  <si>
    <t>Financial Debt/EBITDA</t>
  </si>
  <si>
    <t>x</t>
    <phoneticPr fontId="0" type="noConversion"/>
  </si>
  <si>
    <t>Interest Coverage</t>
  </si>
  <si>
    <t>Debt Service Coverage</t>
  </si>
  <si>
    <t>Equity %</t>
  </si>
  <si>
    <t>%</t>
  </si>
  <si>
    <t>Financial Debt/Equity</t>
  </si>
  <si>
    <t>Liquidity Ratios</t>
  </si>
  <si>
    <t>Cash Ratio</t>
  </si>
  <si>
    <t>Quick Ratio</t>
  </si>
  <si>
    <t>Current Ratio</t>
  </si>
  <si>
    <t>Growth Rates</t>
  </si>
  <si>
    <t>Revenue growth</t>
    <phoneticPr fontId="0" type="noConversion"/>
  </si>
  <si>
    <t>Gross Profit Growth</t>
  </si>
  <si>
    <t xml:space="preserve">EBITDA Growth </t>
  </si>
  <si>
    <t>EBIT Growth</t>
  </si>
  <si>
    <t>Net Income Growth</t>
  </si>
  <si>
    <t>Asset Growth</t>
  </si>
  <si>
    <t>Equity Growth</t>
  </si>
  <si>
    <t>Profitability</t>
  </si>
  <si>
    <t>NOPLAT</t>
  </si>
  <si>
    <t>Revenue/Invested Capital</t>
  </si>
  <si>
    <t>x</t>
  </si>
  <si>
    <t>ROIC</t>
  </si>
  <si>
    <t>ROA</t>
  </si>
  <si>
    <t>ROE</t>
  </si>
  <si>
    <t>Revenues/Assets</t>
  </si>
  <si>
    <t>Efficiency</t>
  </si>
  <si>
    <t>Cash Conversion</t>
  </si>
  <si>
    <t>Days</t>
  </si>
  <si>
    <t>Economic Balance Sheet</t>
  </si>
  <si>
    <t>./. Cash</t>
  </si>
  <si>
    <t>Invested Capital</t>
  </si>
  <si>
    <t>Capital Employed</t>
  </si>
  <si>
    <t>Fixed Asset Schedule</t>
  </si>
  <si>
    <t>Depreciation</t>
  </si>
  <si>
    <t>Chart Data</t>
  </si>
  <si>
    <t>Revenues and Profits</t>
  </si>
  <si>
    <t>Balance Sheet</t>
  </si>
  <si>
    <t>Free Cash Flows</t>
  </si>
  <si>
    <t>Terminal Value</t>
  </si>
  <si>
    <t>Discount Factor</t>
  </si>
  <si>
    <t>Terminal Value Models</t>
  </si>
  <si>
    <t>Lookup Area</t>
  </si>
  <si>
    <t>Financial Year</t>
  </si>
  <si>
    <t>Revenue</t>
  </si>
  <si>
    <t>Gross Profi</t>
  </si>
  <si>
    <t>extract information from an email etc.</t>
  </si>
  <si>
    <t>use a different formula = make it more complicated / less complicated</t>
  </si>
  <si>
    <t>build a formula that has different input, that can't be dragged for example because there are year sums in between?</t>
  </si>
  <si>
    <t>Surround it with error handling</t>
  </si>
  <si>
    <t xml:space="preserve">Fix the $ sign after copying a formula / Detect that I </t>
  </si>
  <si>
    <t>Co-Pilot teaching me things / figuring out where I go wrong?</t>
  </si>
  <si>
    <t>use index match to make a lookup multi dimension</t>
  </si>
  <si>
    <t>Give me an overview sheet that links to each sheet A1 and has a quick description of the sheet (with hyperlink) &gt; Update the Overview sheet</t>
  </si>
  <si>
    <t>replace all names with dummy names like john doe etc.</t>
  </si>
  <si>
    <t>Remove the blank cells in between</t>
  </si>
  <si>
    <t xml:space="preserve">Pro DCF Valuation Model </t>
  </si>
  <si>
    <t>Model Version 4.5</t>
  </si>
  <si>
    <t>Confidential</t>
  </si>
  <si>
    <t>Powered by</t>
  </si>
  <si>
    <t>www.eFinancialModels.com</t>
  </si>
  <si>
    <t>All amounts in USD</t>
  </si>
  <si>
    <t>Forecast Year</t>
  </si>
  <si>
    <t>Revenue Growth</t>
  </si>
  <si>
    <t>Direct Costs</t>
  </si>
  <si>
    <t>Gross Profit</t>
  </si>
  <si>
    <t>Gross Profit Margin %</t>
  </si>
  <si>
    <t>Operating Expenses</t>
  </si>
  <si>
    <t>EBITDA</t>
  </si>
  <si>
    <t>EBITDA Margin %</t>
  </si>
  <si>
    <t>USD</t>
  </si>
  <si>
    <t>Extraordinary Expenses</t>
  </si>
  <si>
    <t>Interest Expense</t>
  </si>
  <si>
    <t>Income Taxes</t>
  </si>
  <si>
    <t>Net Income/Loss</t>
  </si>
  <si>
    <t>Cash</t>
  </si>
  <si>
    <t>Receivables</t>
  </si>
  <si>
    <t>Inventory</t>
  </si>
  <si>
    <t>Other Current Assets</t>
  </si>
  <si>
    <t>Current Assets</t>
  </si>
  <si>
    <t>Capital Expenditures</t>
  </si>
  <si>
    <t>Fixed Assets</t>
  </si>
  <si>
    <t>Short-Term Provisions</t>
  </si>
  <si>
    <t>Payables</t>
  </si>
  <si>
    <t>Other Current Liabilities</t>
  </si>
  <si>
    <t>Short-term Liabilities</t>
  </si>
  <si>
    <t>Long-Term Provisions</t>
  </si>
  <si>
    <t>Financial Debt</t>
  </si>
  <si>
    <t>Long-term Liabilities</t>
  </si>
  <si>
    <t>Shareholder's Equity</t>
  </si>
  <si>
    <t>Liabilities &amp; Shareholder's Equity</t>
  </si>
  <si>
    <t>Interest Rate</t>
  </si>
  <si>
    <t>Income Tax Rate</t>
  </si>
  <si>
    <t>Days Revenue</t>
  </si>
  <si>
    <t>Days Direct Costs</t>
  </si>
  <si>
    <t>Net Working Capital</t>
  </si>
  <si>
    <t>Depreciation period</t>
  </si>
  <si>
    <t>Years</t>
  </si>
  <si>
    <t>Free Cash Flow to Firm</t>
  </si>
  <si>
    <t>Terminal Value (TV)</t>
  </si>
  <si>
    <t>Discounted Cash Flows</t>
  </si>
  <si>
    <t>Selected: Two Stage Value Driver</t>
  </si>
  <si>
    <t>TV</t>
  </si>
  <si>
    <t>PV of TV</t>
  </si>
  <si>
    <t>()</t>
  </si>
  <si>
    <t>(Year 5)</t>
  </si>
  <si>
    <t>(Year 0)</t>
  </si>
  <si>
    <t>Capitalized Earnings</t>
  </si>
  <si>
    <t>Gordon Growth</t>
  </si>
  <si>
    <t>H-Model</t>
  </si>
  <si>
    <t>EV/Revenue Exit Multiple (2.5x)</t>
  </si>
  <si>
    <t>EV/EBITDA Exit Multiple (6.0x)</t>
  </si>
  <si>
    <t>EV/EBIT Exit Multiple (7.0x)</t>
  </si>
  <si>
    <t>P/E Exit Multiple (5.0x)</t>
  </si>
  <si>
    <t>P/B Exit Multiple (2.0x)</t>
  </si>
  <si>
    <t>One Stage Value Driver</t>
  </si>
  <si>
    <t>Two Stage Value Driver</t>
  </si>
  <si>
    <t>Not working yet</t>
  </si>
  <si>
    <t>Lookup area</t>
  </si>
  <si>
    <t>Date - Input</t>
  </si>
  <si>
    <t>Date</t>
  </si>
  <si>
    <t>What's next</t>
  </si>
  <si>
    <t>jan@kontext21.com</t>
  </si>
  <si>
    <t>Join Discord</t>
  </si>
  <si>
    <t>Give Feedback</t>
  </si>
  <si>
    <t>Ideas to try</t>
  </si>
  <si>
    <t>Try other things from</t>
  </si>
  <si>
    <t xml:space="preserve">use lambda / LET syntax </t>
  </si>
  <si>
    <t>(wait a bit)</t>
  </si>
  <si>
    <t>Revenue database</t>
  </si>
  <si>
    <t>Share ideas</t>
  </si>
  <si>
    <t>Grace Taylor &lt;grace.taylor@fakemail.com&gt;,</t>
  </si>
  <si>
    <t>James Anderson &lt;james.anderson@mockmail.net&gt;,</t>
  </si>
  <si>
    <t>Emily Harris &lt;emily.harris@samplemail.org&gt;,</t>
  </si>
  <si>
    <t>Michael Clark &lt;michael.clark@placeholdermail.com&gt;,</t>
  </si>
  <si>
    <t>Sophia Martinez &lt;sophia.martinez@nomailservice.net&gt;,</t>
  </si>
  <si>
    <t>Daniel Thompson &lt;daniel.thompson@fauxmail.com&gt;,</t>
  </si>
  <si>
    <t>Olivia Robinson &lt;olivia.robinson@testemail.org&gt;,</t>
  </si>
  <si>
    <t>Paste</t>
  </si>
  <si>
    <t>Give me a column with just the emails no &lt; &gt; signs</t>
  </si>
  <si>
    <t>Explain spreadsheets help with auditing</t>
  </si>
  <si>
    <t>Coming soon:</t>
  </si>
  <si>
    <t>Formatting</t>
  </si>
  <si>
    <t>Make everything look professional and consistent</t>
  </si>
  <si>
    <t>Back-of-the-envelope ad'hoc modeling</t>
  </si>
  <si>
    <t>Explaining &amp; navigating complex formulas and dependecies</t>
  </si>
  <si>
    <t>Connect data inputs into model templates eg. annual reports, account ledgers etc.</t>
  </si>
  <si>
    <t>Find questionable assumptions and modelling errors.</t>
  </si>
  <si>
    <t>Sanity Check &amp; Model Audit</t>
  </si>
  <si>
    <t>PDF-to-model</t>
  </si>
  <si>
    <t>Error Fixing &amp; Debugging</t>
  </si>
  <si>
    <t>Create from scratch</t>
  </si>
  <si>
    <t>or go to X21 Ribbon and click "Fix Formula"</t>
  </si>
  <si>
    <t>Getting started</t>
  </si>
  <si>
    <t>Yes?</t>
  </si>
  <si>
    <t>No?</t>
  </si>
  <si>
    <t>kontext21.com/excel</t>
  </si>
  <si>
    <t>Great, let's continue.</t>
  </si>
  <si>
    <t>Do you see the X21 ribbon?</t>
  </si>
  <si>
    <t xml:space="preserve">+49 176 4202 4340 </t>
  </si>
  <si>
    <t>Support</t>
  </si>
  <si>
    <t>Here on the right we have a revenue database. Containing a revenue number for each date.</t>
  </si>
  <si>
    <t>Now let's build a simple lookup for a particular date.</t>
  </si>
  <si>
    <t>Welcome</t>
  </si>
  <si>
    <r>
      <t xml:space="preserve">Press Ctrl+Shift+M  </t>
    </r>
    <r>
      <rPr>
        <sz val="14"/>
        <color theme="1"/>
        <rFont val="Aptos Narrow"/>
        <family val="2"/>
        <scheme val="minor"/>
      </rPr>
      <t>to predict the formula</t>
    </r>
  </si>
  <si>
    <t>Chat with your Excel - X21 Ribbon  &gt; "AI Chat"</t>
  </si>
  <si>
    <t>Ask it to create simple models from scratch</t>
  </si>
  <si>
    <t>Next steps</t>
  </si>
  <si>
    <t>Please Install</t>
  </si>
  <si>
    <t>Then restart Excel</t>
  </si>
  <si>
    <t>Enable Editing</t>
  </si>
  <si>
    <t>Click this yellow button</t>
  </si>
  <si>
    <t>This allows to make changes to the current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</si>
</sst>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000\ \A"/>
    <numFmt numFmtId="165" formatCode="0000\ \F"/>
    <numFmt numFmtId="166" formatCode="0\ &quot;Years&quot;"/>
    <numFmt numFmtId="167" formatCode="&quot;Year &quot;#,##0"/>
    <numFmt numFmtId="168" formatCode="_(* #,##0_);_(* \(#,##0\);_(* &quot;-&quot;??_);_(@_)"/>
    <numFmt numFmtId="169" formatCode="0.0%"/>
    <numFmt numFmtId="170" formatCode="0.00\x"/>
    <numFmt numFmtId="171" formatCode="0.0\x"/>
  </numFmts>
  <fonts count="43" x14ac:knownFonts="1">
    <font>
      <sz val="10"/>
      <name val="Aptos Narrow"/>
      <family val="2"/>
      <scheme val="minor"/>
    </font>
    <font>
      <sz val="10"/>
      <name val="Calibri"/>
      <family val="2"/>
    </font>
    <font>
      <sz val="10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0"/>
      <name val="Verdana"/>
      <family val="2"/>
    </font>
    <font>
      <i/>
      <sz val="10"/>
      <color theme="0" tint="-0.499984740745262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6"/>
      <color indexed="8"/>
      <name val="Aptos Narrow"/>
      <family val="2"/>
      <scheme val="minor"/>
    </font>
    <font>
      <i/>
      <sz val="10"/>
      <color indexed="8"/>
      <name val="Aptos Narrow"/>
      <family val="2"/>
      <scheme val="minor"/>
    </font>
    <font>
      <b/>
      <sz val="10"/>
      <color theme="0"/>
      <name val="Calibri"/>
      <family val="2"/>
    </font>
    <font>
      <b/>
      <sz val="10"/>
      <color theme="0"/>
      <name val="Aptos Narrow"/>
      <family val="2"/>
      <scheme val="minor"/>
    </font>
    <font>
      <b/>
      <sz val="10"/>
      <color indexed="9"/>
      <name val="Aptos Narrow"/>
      <family val="2"/>
      <scheme val="minor"/>
    </font>
    <font>
      <b/>
      <sz val="10"/>
      <color indexed="9"/>
      <name val="Calibri"/>
      <family val="2"/>
    </font>
    <font>
      <i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268C70"/>
      <name val="Aptos Narrow"/>
      <family val="2"/>
      <scheme val="minor"/>
    </font>
    <font>
      <sz val="10"/>
      <color theme="0" tint="-0.499984740745262"/>
      <name val="Aptos Narrow"/>
      <family val="2"/>
      <scheme val="minor"/>
    </font>
    <font>
      <i/>
      <sz val="10"/>
      <color theme="0" tint="-0.499984740745262"/>
      <name val="Calibri"/>
      <family val="2"/>
    </font>
    <font>
      <i/>
      <sz val="10"/>
      <name val="Aptos Narrow"/>
      <family val="2"/>
      <scheme val="minor"/>
    </font>
    <font>
      <sz val="10"/>
      <color rgb="FF268C70"/>
      <name val="Aptos Narrow"/>
      <family val="2"/>
      <scheme val="minor"/>
    </font>
    <font>
      <u/>
      <sz val="10"/>
      <name val="Aptos Narrow"/>
      <family val="2"/>
      <scheme val="minor"/>
    </font>
    <font>
      <u/>
      <sz val="10"/>
      <color indexed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indexed="9"/>
      <name val="Aptos Narrow"/>
      <family val="2"/>
      <scheme val="minor"/>
    </font>
    <font>
      <sz val="10"/>
      <color rgb="FF004DD6"/>
      <name val="Aptos Narrow"/>
      <family val="2"/>
      <scheme val="minor"/>
    </font>
    <font>
      <sz val="10"/>
      <color rgb="FF008F6E"/>
      <name val="Aptos Narrow"/>
      <family val="2"/>
      <scheme val="minor"/>
    </font>
    <font>
      <u/>
      <sz val="10"/>
      <color indexed="12"/>
      <name val="Aptos Narrow"/>
      <family val="2"/>
      <scheme val="minor"/>
    </font>
    <font>
      <i/>
      <u/>
      <sz val="10"/>
      <color indexed="12"/>
      <name val="Aptos Narrow"/>
      <family val="2"/>
      <scheme val="minor"/>
    </font>
    <font>
      <u/>
      <sz val="10"/>
      <color theme="1"/>
      <name val="Calibri"/>
      <family val="2"/>
    </font>
    <font>
      <sz val="9"/>
      <color rgb="FF222222"/>
      <name val="Segoe UI"/>
      <family val="2"/>
    </font>
    <font>
      <sz val="12"/>
      <color theme="1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222222"/>
      <name val="Arial"/>
      <family val="2"/>
    </font>
    <font>
      <sz val="12"/>
      <color rgb="FF222222"/>
      <name val="Segoe UI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4"/>
      <color indexed="12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rgb="FF9C5700"/>
      <name val="Aptos Narrow"/>
      <family val="2"/>
      <scheme val="minor"/>
    </font>
    <font>
      <b/>
      <sz val="14"/>
      <color theme="6"/>
      <name val="Aptos Narrow"/>
      <family val="2"/>
      <scheme val="minor"/>
    </font>
    <font>
      <u/>
      <sz val="14"/>
      <color theme="7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CF37"/>
        <bgColor indexed="64"/>
      </patternFill>
    </fill>
    <fill>
      <patternFill patternType="solid">
        <fgColor rgb="FF3AAE65"/>
        <bgColor indexed="64"/>
      </patternFill>
    </fill>
    <fill>
      <patternFill patternType="solid">
        <fgColor rgb="FF008F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1"/>
        <bgColor theme="1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indexed="64"/>
      </right>
      <top/>
      <bottom style="hair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31" fillId="0" borderId="0"/>
    <xf numFmtId="0" fontId="32" fillId="7" borderId="0" applyNumberFormat="0" applyBorder="0" applyAlignment="0" applyProtection="0"/>
  </cellStyleXfs>
  <cellXfs count="359">
    <xf numFmtId="0" fontId="0" fillId="0" borderId="0" xfId="0"/>
    <xf numFmtId="0" fontId="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1" fontId="5" fillId="2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4" fontId="3" fillId="0" borderId="0" xfId="4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" fontId="5" fillId="2" borderId="0" xfId="1" applyNumberFormat="1" applyFont="1" applyFill="1" applyAlignment="1">
      <alignment horizontal="right" vertical="center"/>
    </xf>
    <xf numFmtId="0" fontId="3" fillId="0" borderId="1" xfId="4" applyFont="1" applyBorder="1" applyAlignment="1">
      <alignment vertical="center"/>
    </xf>
    <xf numFmtId="14" fontId="3" fillId="0" borderId="1" xfId="4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" fontId="5" fillId="2" borderId="2" xfId="1" applyNumberFormat="1" applyFont="1" applyFill="1" applyBorder="1" applyAlignment="1">
      <alignment horizontal="right" vertical="center"/>
    </xf>
    <xf numFmtId="1" fontId="5" fillId="2" borderId="0" xfId="1" applyNumberFormat="1" applyFont="1" applyFill="1" applyBorder="1" applyAlignment="1">
      <alignment horizontal="right" vertical="center"/>
    </xf>
    <xf numFmtId="0" fontId="7" fillId="0" borderId="0" xfId="4" applyFont="1" applyAlignment="1">
      <alignment vertical="center"/>
    </xf>
    <xf numFmtId="0" fontId="2" fillId="2" borderId="0" xfId="4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4" applyFont="1" applyFill="1" applyAlignment="1">
      <alignment vertical="center"/>
    </xf>
    <xf numFmtId="0" fontId="3" fillId="2" borderId="0" xfId="4" applyFont="1" applyFill="1" applyAlignment="1">
      <alignment vertical="center"/>
    </xf>
    <xf numFmtId="0" fontId="3" fillId="2" borderId="0" xfId="4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10" fillId="4" borderId="3" xfId="4" applyFont="1" applyFill="1" applyBorder="1" applyAlignment="1">
      <alignment horizontal="center" vertical="center"/>
    </xf>
    <xf numFmtId="0" fontId="11" fillId="4" borderId="0" xfId="4" applyFont="1" applyFill="1" applyAlignment="1">
      <alignment vertical="center"/>
    </xf>
    <xf numFmtId="164" fontId="9" fillId="5" borderId="0" xfId="1" applyNumberFormat="1" applyFont="1" applyFill="1" applyBorder="1" applyAlignment="1" applyProtection="1">
      <alignment horizontal="right" vertical="center"/>
    </xf>
    <xf numFmtId="164" fontId="9" fillId="5" borderId="4" xfId="1" applyNumberFormat="1" applyFont="1" applyFill="1" applyBorder="1" applyAlignment="1" applyProtection="1">
      <alignment horizontal="right" vertical="center"/>
    </xf>
    <xf numFmtId="165" fontId="11" fillId="4" borderId="0" xfId="4" applyNumberFormat="1" applyFont="1" applyFill="1" applyAlignment="1">
      <alignment vertical="center"/>
    </xf>
    <xf numFmtId="1" fontId="11" fillId="4" borderId="0" xfId="4" applyNumberFormat="1" applyFont="1" applyFill="1" applyAlignment="1">
      <alignment vertical="center"/>
    </xf>
    <xf numFmtId="166" fontId="12" fillId="4" borderId="5" xfId="0" applyNumberFormat="1" applyFont="1" applyFill="1" applyBorder="1" applyAlignment="1">
      <alignment horizontal="right" vertical="center"/>
    </xf>
    <xf numFmtId="0" fontId="11" fillId="4" borderId="4" xfId="4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1" fontId="5" fillId="2" borderId="0" xfId="1" applyNumberFormat="1" applyFont="1" applyFill="1" applyBorder="1" applyAlignment="1">
      <alignment vertical="center"/>
    </xf>
    <xf numFmtId="0" fontId="3" fillId="6" borderId="3" xfId="4" applyFont="1" applyFill="1" applyBorder="1" applyAlignment="1">
      <alignment vertical="center"/>
    </xf>
    <xf numFmtId="0" fontId="13" fillId="6" borderId="0" xfId="4" applyFont="1" applyFill="1" applyAlignment="1">
      <alignment vertical="center"/>
    </xf>
    <xf numFmtId="0" fontId="14" fillId="6" borderId="0" xfId="4" applyFont="1" applyFill="1" applyAlignment="1">
      <alignment vertical="center"/>
    </xf>
    <xf numFmtId="167" fontId="13" fillId="6" borderId="0" xfId="4" applyNumberFormat="1" applyFont="1" applyFill="1" applyAlignment="1">
      <alignment horizontal="right" vertical="center"/>
    </xf>
    <xf numFmtId="167" fontId="13" fillId="6" borderId="4" xfId="4" applyNumberFormat="1" applyFont="1" applyFill="1" applyBorder="1" applyAlignment="1">
      <alignment horizontal="right" vertical="center"/>
    </xf>
    <xf numFmtId="167" fontId="13" fillId="6" borderId="5" xfId="4" applyNumberFormat="1" applyFont="1" applyFill="1" applyBorder="1" applyAlignment="1">
      <alignment horizontal="right" vertical="center"/>
    </xf>
    <xf numFmtId="0" fontId="2" fillId="2" borderId="3" xfId="4" applyFont="1" applyFill="1" applyBorder="1" applyAlignment="1">
      <alignment vertical="center"/>
    </xf>
    <xf numFmtId="0" fontId="3" fillId="2" borderId="0" xfId="4" applyFont="1" applyFill="1" applyAlignment="1">
      <alignment horizontal="left" vertical="center"/>
    </xf>
    <xf numFmtId="3" fontId="14" fillId="2" borderId="0" xfId="4" applyNumberFormat="1" applyFont="1" applyFill="1" applyAlignment="1">
      <alignment horizontal="right" vertical="center"/>
    </xf>
    <xf numFmtId="3" fontId="14" fillId="2" borderId="4" xfId="4" applyNumberFormat="1" applyFont="1" applyFill="1" applyBorder="1" applyAlignment="1">
      <alignment horizontal="right" vertical="center"/>
    </xf>
    <xf numFmtId="3" fontId="14" fillId="2" borderId="5" xfId="4" applyNumberFormat="1" applyFont="1" applyFill="1" applyBorder="1" applyAlignment="1">
      <alignment horizontal="right" vertical="center"/>
    </xf>
    <xf numFmtId="0" fontId="2" fillId="0" borderId="3" xfId="4" applyFont="1" applyBorder="1" applyAlignment="1">
      <alignment vertical="center"/>
    </xf>
    <xf numFmtId="0" fontId="15" fillId="2" borderId="0" xfId="4" applyFont="1" applyFill="1" applyAlignment="1">
      <alignment vertical="center"/>
    </xf>
    <xf numFmtId="2" fontId="15" fillId="0" borderId="0" xfId="4" applyNumberFormat="1" applyFont="1" applyAlignment="1">
      <alignment vertical="center"/>
    </xf>
    <xf numFmtId="0" fontId="15" fillId="0" borderId="0" xfId="4" applyFont="1" applyAlignment="1">
      <alignment vertical="center"/>
    </xf>
    <xf numFmtId="168" fontId="16" fillId="0" borderId="0" xfId="1" applyNumberFormat="1" applyFont="1" applyFill="1" applyBorder="1" applyAlignment="1">
      <alignment horizontal="right" vertical="center"/>
    </xf>
    <xf numFmtId="168" fontId="16" fillId="0" borderId="4" xfId="1" applyNumberFormat="1" applyFont="1" applyFill="1" applyBorder="1" applyAlignment="1">
      <alignment horizontal="right" vertical="center"/>
    </xf>
    <xf numFmtId="168" fontId="15" fillId="0" borderId="5" xfId="1" applyNumberFormat="1" applyFont="1" applyFill="1" applyBorder="1" applyAlignment="1">
      <alignment horizontal="right" vertical="center"/>
    </xf>
    <xf numFmtId="168" fontId="15" fillId="0" borderId="4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0" fontId="17" fillId="0" borderId="3" xfId="4" applyFont="1" applyBorder="1" applyAlignment="1">
      <alignment vertical="center"/>
    </xf>
    <xf numFmtId="0" fontId="5" fillId="0" borderId="0" xfId="4" applyFont="1" applyAlignment="1">
      <alignment vertical="center"/>
    </xf>
    <xf numFmtId="9" fontId="5" fillId="0" borderId="0" xfId="2" applyFont="1" applyFill="1" applyBorder="1" applyAlignment="1">
      <alignment vertical="center"/>
    </xf>
    <xf numFmtId="169" fontId="5" fillId="2" borderId="0" xfId="2" applyNumberFormat="1" applyFont="1" applyFill="1" applyBorder="1" applyAlignment="1">
      <alignment horizontal="right" vertical="center"/>
    </xf>
    <xf numFmtId="169" fontId="5" fillId="2" borderId="4" xfId="2" applyNumberFormat="1" applyFont="1" applyFill="1" applyBorder="1" applyAlignment="1">
      <alignment horizontal="right" vertical="center"/>
    </xf>
    <xf numFmtId="169" fontId="18" fillId="2" borderId="5" xfId="2" applyNumberFormat="1" applyFont="1" applyFill="1" applyBorder="1" applyAlignment="1" applyProtection="1">
      <alignment horizontal="right" vertical="center"/>
    </xf>
    <xf numFmtId="169" fontId="19" fillId="2" borderId="4" xfId="2" applyNumberFormat="1" applyFont="1" applyFill="1" applyBorder="1" applyAlignment="1">
      <alignment horizontal="right" vertical="center"/>
    </xf>
    <xf numFmtId="1" fontId="5" fillId="2" borderId="0" xfId="4" applyNumberFormat="1" applyFont="1" applyFill="1" applyAlignment="1">
      <alignment vertical="center"/>
    </xf>
    <xf numFmtId="37" fontId="3" fillId="0" borderId="0" xfId="4" applyNumberFormat="1" applyFont="1" applyAlignment="1">
      <alignment horizontal="right" vertical="center"/>
    </xf>
    <xf numFmtId="37" fontId="3" fillId="0" borderId="4" xfId="4" applyNumberFormat="1" applyFont="1" applyBorder="1" applyAlignment="1">
      <alignment horizontal="right" vertical="center"/>
    </xf>
    <xf numFmtId="169" fontId="5" fillId="2" borderId="5" xfId="2" applyNumberFormat="1" applyFont="1" applyFill="1" applyBorder="1" applyAlignment="1">
      <alignment horizontal="right" vertical="center"/>
    </xf>
    <xf numFmtId="0" fontId="3" fillId="0" borderId="1" xfId="4" applyFont="1" applyBorder="1" applyAlignment="1">
      <alignment horizontal="left" vertical="center"/>
    </xf>
    <xf numFmtId="37" fontId="3" fillId="0" borderId="1" xfId="4" applyNumberFormat="1" applyFont="1" applyBorder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2" fontId="3" fillId="0" borderId="1" xfId="4" applyNumberFormat="1" applyFont="1" applyBorder="1" applyAlignment="1">
      <alignment vertical="center"/>
    </xf>
    <xf numFmtId="168" fontId="20" fillId="0" borderId="1" xfId="1" applyNumberFormat="1" applyFont="1" applyFill="1" applyBorder="1" applyAlignment="1">
      <alignment horizontal="right" vertical="center"/>
    </xf>
    <xf numFmtId="168" fontId="20" fillId="0" borderId="6" xfId="1" applyNumberFormat="1" applyFont="1" applyFill="1" applyBorder="1" applyAlignment="1">
      <alignment horizontal="right" vertical="center"/>
    </xf>
    <xf numFmtId="168" fontId="3" fillId="2" borderId="5" xfId="1" applyNumberFormat="1" applyFont="1" applyFill="1" applyBorder="1" applyAlignment="1">
      <alignment horizontal="right" vertical="center"/>
    </xf>
    <xf numFmtId="168" fontId="3" fillId="0" borderId="4" xfId="1" applyNumberFormat="1" applyFont="1" applyFill="1" applyBorder="1" applyAlignment="1">
      <alignment horizontal="right" vertical="center"/>
    </xf>
    <xf numFmtId="0" fontId="15" fillId="0" borderId="0" xfId="4" applyFont="1" applyAlignment="1">
      <alignment horizontal="right" vertical="center"/>
    </xf>
    <xf numFmtId="168" fontId="15" fillId="0" borderId="0" xfId="1" applyNumberFormat="1" applyFont="1" applyFill="1" applyBorder="1" applyAlignment="1">
      <alignment horizontal="right" vertical="center"/>
    </xf>
    <xf numFmtId="168" fontId="15" fillId="2" borderId="7" xfId="1" applyNumberFormat="1" applyFont="1" applyFill="1" applyBorder="1" applyAlignment="1">
      <alignment horizontal="right" vertical="center"/>
    </xf>
    <xf numFmtId="168" fontId="15" fillId="0" borderId="4" xfId="4" applyNumberFormat="1" applyFont="1" applyBorder="1" applyAlignment="1">
      <alignment horizontal="right" vertical="center"/>
    </xf>
    <xf numFmtId="169" fontId="5" fillId="0" borderId="0" xfId="2" applyNumberFormat="1" applyFont="1" applyFill="1" applyBorder="1" applyAlignment="1">
      <alignment horizontal="right" vertical="center"/>
    </xf>
    <xf numFmtId="169" fontId="5" fillId="0" borderId="4" xfId="2" applyNumberFormat="1" applyFont="1" applyFill="1" applyBorder="1" applyAlignment="1">
      <alignment horizontal="right" vertical="center"/>
    </xf>
    <xf numFmtId="169" fontId="19" fillId="0" borderId="4" xfId="2" applyNumberFormat="1" applyFont="1" applyFill="1" applyBorder="1" applyAlignment="1">
      <alignment horizontal="right" vertical="center"/>
    </xf>
    <xf numFmtId="168" fontId="20" fillId="0" borderId="0" xfId="1" applyNumberFormat="1" applyFont="1" applyFill="1" applyBorder="1" applyAlignment="1">
      <alignment horizontal="right" vertical="center"/>
    </xf>
    <xf numFmtId="168" fontId="20" fillId="0" borderId="4" xfId="1" applyNumberFormat="1" applyFont="1" applyFill="1" applyBorder="1" applyAlignment="1">
      <alignment horizontal="right" vertical="center"/>
    </xf>
    <xf numFmtId="168" fontId="15" fillId="0" borderId="8" xfId="1" applyNumberFormat="1" applyFont="1" applyFill="1" applyBorder="1" applyAlignment="1">
      <alignment horizontal="right" vertical="center"/>
    </xf>
    <xf numFmtId="168" fontId="15" fillId="0" borderId="9" xfId="1" applyNumberFormat="1" applyFont="1" applyFill="1" applyBorder="1" applyAlignment="1">
      <alignment horizontal="right" vertical="center"/>
    </xf>
    <xf numFmtId="0" fontId="21" fillId="0" borderId="0" xfId="4" applyFont="1" applyAlignment="1">
      <alignment vertical="center"/>
    </xf>
    <xf numFmtId="37" fontId="21" fillId="0" borderId="0" xfId="4" applyNumberFormat="1" applyFont="1" applyAlignment="1">
      <alignment horizontal="right" vertical="center"/>
    </xf>
    <xf numFmtId="37" fontId="21" fillId="0" borderId="4" xfId="4" applyNumberFormat="1" applyFont="1" applyBorder="1" applyAlignment="1">
      <alignment horizontal="right" vertical="center"/>
    </xf>
    <xf numFmtId="37" fontId="21" fillId="2" borderId="5" xfId="4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2" fontId="3" fillId="0" borderId="0" xfId="4" applyNumberFormat="1" applyFont="1" applyAlignment="1">
      <alignment vertical="center"/>
    </xf>
    <xf numFmtId="168" fontId="3" fillId="0" borderId="0" xfId="1" applyNumberFormat="1" applyFont="1" applyFill="1" applyBorder="1" applyAlignment="1">
      <alignment horizontal="right" vertical="center"/>
    </xf>
    <xf numFmtId="0" fontId="15" fillId="0" borderId="8" xfId="4" applyFont="1" applyBorder="1" applyAlignment="1">
      <alignment vertical="center"/>
    </xf>
    <xf numFmtId="2" fontId="15" fillId="0" borderId="8" xfId="4" applyNumberFormat="1" applyFont="1" applyBorder="1" applyAlignment="1">
      <alignment vertical="center"/>
    </xf>
    <xf numFmtId="0" fontId="3" fillId="0" borderId="0" xfId="4" applyFont="1" applyAlignment="1">
      <alignment horizontal="right" vertical="center"/>
    </xf>
    <xf numFmtId="0" fontId="3" fillId="0" borderId="4" xfId="4" applyFont="1" applyBorder="1" applyAlignment="1">
      <alignment horizontal="right" vertical="center"/>
    </xf>
    <xf numFmtId="0" fontId="3" fillId="2" borderId="5" xfId="4" applyFont="1" applyFill="1" applyBorder="1" applyAlignment="1">
      <alignment horizontal="right" vertical="center"/>
    </xf>
    <xf numFmtId="168" fontId="14" fillId="0" borderId="1" xfId="4" applyNumberFormat="1" applyFont="1" applyBorder="1" applyAlignment="1">
      <alignment horizontal="right" vertical="center"/>
    </xf>
    <xf numFmtId="168" fontId="14" fillId="0" borderId="6" xfId="4" applyNumberFormat="1" applyFont="1" applyBorder="1" applyAlignment="1">
      <alignment horizontal="right" vertical="center"/>
    </xf>
    <xf numFmtId="0" fontId="15" fillId="0" borderId="10" xfId="4" applyFont="1" applyBorder="1" applyAlignment="1">
      <alignment vertical="center"/>
    </xf>
    <xf numFmtId="2" fontId="15" fillId="0" borderId="10" xfId="4" applyNumberFormat="1" applyFont="1" applyBorder="1" applyAlignment="1">
      <alignment vertical="center"/>
    </xf>
    <xf numFmtId="168" fontId="15" fillId="0" borderId="10" xfId="4" applyNumberFormat="1" applyFont="1" applyBorder="1" applyAlignment="1">
      <alignment horizontal="right" vertical="center"/>
    </xf>
    <xf numFmtId="168" fontId="15" fillId="0" borderId="11" xfId="4" applyNumberFormat="1" applyFont="1" applyBorder="1" applyAlignment="1">
      <alignment horizontal="right" vertical="center"/>
    </xf>
    <xf numFmtId="168" fontId="15" fillId="2" borderId="2" xfId="4" applyNumberFormat="1" applyFont="1" applyFill="1" applyBorder="1" applyAlignment="1">
      <alignment horizontal="right" vertical="center"/>
    </xf>
    <xf numFmtId="9" fontId="5" fillId="0" borderId="0" xfId="2" applyFont="1" applyBorder="1" applyAlignment="1">
      <alignment vertical="center"/>
    </xf>
    <xf numFmtId="169" fontId="5" fillId="0" borderId="0" xfId="2" applyNumberFormat="1" applyFont="1" applyBorder="1" applyAlignment="1">
      <alignment horizontal="right" vertical="center"/>
    </xf>
    <xf numFmtId="169" fontId="5" fillId="0" borderId="4" xfId="2" applyNumberFormat="1" applyFont="1" applyBorder="1" applyAlignment="1">
      <alignment horizontal="right" vertical="center"/>
    </xf>
    <xf numFmtId="169" fontId="19" fillId="0" borderId="4" xfId="2" applyNumberFormat="1" applyFont="1" applyBorder="1" applyAlignment="1">
      <alignment horizontal="right" vertical="center"/>
    </xf>
    <xf numFmtId="43" fontId="17" fillId="0" borderId="0" xfId="1" applyFont="1" applyFill="1" applyBorder="1" applyAlignment="1">
      <alignment vertical="center"/>
    </xf>
    <xf numFmtId="43" fontId="17" fillId="0" borderId="3" xfId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" fontId="5" fillId="0" borderId="0" xfId="1" applyNumberFormat="1" applyFont="1" applyFill="1" applyBorder="1" applyAlignment="1">
      <alignment vertical="center"/>
    </xf>
    <xf numFmtId="1" fontId="5" fillId="0" borderId="4" xfId="1" applyNumberFormat="1" applyFont="1" applyFill="1" applyBorder="1" applyAlignment="1">
      <alignment vertical="center"/>
    </xf>
    <xf numFmtId="1" fontId="5" fillId="0" borderId="5" xfId="1" applyNumberFormat="1" applyFont="1" applyFill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43" fontId="17" fillId="0" borderId="0" xfId="1" applyFont="1" applyFill="1" applyAlignment="1">
      <alignment vertical="center"/>
    </xf>
    <xf numFmtId="0" fontId="2" fillId="0" borderId="12" xfId="4" applyFont="1" applyBorder="1" applyAlignment="1">
      <alignment vertical="center"/>
    </xf>
    <xf numFmtId="0" fontId="21" fillId="0" borderId="1" xfId="4" applyFont="1" applyBorder="1" applyAlignment="1">
      <alignment vertical="center"/>
    </xf>
    <xf numFmtId="168" fontId="21" fillId="0" borderId="1" xfId="4" applyNumberFormat="1" applyFont="1" applyBorder="1" applyAlignment="1">
      <alignment vertical="center"/>
    </xf>
    <xf numFmtId="168" fontId="21" fillId="0" borderId="6" xfId="4" applyNumberFormat="1" applyFont="1" applyBorder="1" applyAlignment="1">
      <alignment vertical="center"/>
    </xf>
    <xf numFmtId="168" fontId="21" fillId="0" borderId="13" xfId="4" applyNumberFormat="1" applyFont="1" applyBorder="1" applyAlignment="1">
      <alignment vertical="center"/>
    </xf>
    <xf numFmtId="0" fontId="22" fillId="0" borderId="0" xfId="4" applyFont="1" applyAlignment="1">
      <alignment vertical="center"/>
    </xf>
    <xf numFmtId="168" fontId="2" fillId="0" borderId="0" xfId="1" applyNumberFormat="1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0" fontId="3" fillId="2" borderId="4" xfId="4" applyFont="1" applyFill="1" applyBorder="1" applyAlignment="1">
      <alignment vertical="center"/>
    </xf>
    <xf numFmtId="0" fontId="3" fillId="2" borderId="5" xfId="4" applyFont="1" applyFill="1" applyBorder="1" applyAlignment="1">
      <alignment vertical="center"/>
    </xf>
    <xf numFmtId="2" fontId="3" fillId="2" borderId="0" xfId="4" applyNumberFormat="1" applyFont="1" applyFill="1" applyAlignment="1">
      <alignment vertical="center"/>
    </xf>
    <xf numFmtId="168" fontId="20" fillId="2" borderId="0" xfId="1" applyNumberFormat="1" applyFont="1" applyFill="1" applyBorder="1" applyAlignment="1">
      <alignment vertical="center"/>
    </xf>
    <xf numFmtId="168" fontId="20" fillId="2" borderId="4" xfId="1" applyNumberFormat="1" applyFont="1" applyFill="1" applyBorder="1" applyAlignment="1">
      <alignment vertical="center"/>
    </xf>
    <xf numFmtId="168" fontId="3" fillId="2" borderId="0" xfId="1" applyNumberFormat="1" applyFont="1" applyFill="1" applyBorder="1" applyAlignment="1">
      <alignment vertical="center"/>
    </xf>
    <xf numFmtId="168" fontId="3" fillId="2" borderId="5" xfId="1" applyNumberFormat="1" applyFont="1" applyFill="1" applyBorder="1" applyAlignment="1">
      <alignment vertical="center"/>
    </xf>
    <xf numFmtId="168" fontId="3" fillId="2" borderId="4" xfId="1" applyNumberFormat="1" applyFont="1" applyFill="1" applyBorder="1" applyAlignment="1">
      <alignment vertical="center"/>
    </xf>
    <xf numFmtId="168" fontId="3" fillId="2" borderId="0" xfId="1" applyNumberFormat="1" applyFont="1" applyFill="1" applyBorder="1" applyAlignment="1">
      <alignment horizontal="right" vertical="center"/>
    </xf>
    <xf numFmtId="0" fontId="15" fillId="2" borderId="8" xfId="4" applyFont="1" applyFill="1" applyBorder="1" applyAlignment="1">
      <alignment vertical="center"/>
    </xf>
    <xf numFmtId="2" fontId="15" fillId="2" borderId="8" xfId="4" applyNumberFormat="1" applyFont="1" applyFill="1" applyBorder="1" applyAlignment="1">
      <alignment vertical="center"/>
    </xf>
    <xf numFmtId="168" fontId="15" fillId="2" borderId="8" xfId="1" applyNumberFormat="1" applyFont="1" applyFill="1" applyBorder="1" applyAlignment="1">
      <alignment vertical="center"/>
    </xf>
    <xf numFmtId="168" fontId="15" fillId="2" borderId="9" xfId="1" applyNumberFormat="1" applyFont="1" applyFill="1" applyBorder="1" applyAlignment="1">
      <alignment vertical="center"/>
    </xf>
    <xf numFmtId="168" fontId="15" fillId="2" borderId="8" xfId="1" applyNumberFormat="1" applyFont="1" applyFill="1" applyBorder="1" applyAlignment="1">
      <alignment horizontal="right" vertical="center"/>
    </xf>
    <xf numFmtId="168" fontId="15" fillId="2" borderId="7" xfId="1" applyNumberFormat="1" applyFont="1" applyFill="1" applyBorder="1" applyAlignment="1">
      <alignment vertical="center"/>
    </xf>
    <xf numFmtId="168" fontId="20" fillId="2" borderId="5" xfId="1" applyNumberFormat="1" applyFont="1" applyFill="1" applyBorder="1" applyAlignment="1">
      <alignment vertical="center"/>
    </xf>
    <xf numFmtId="168" fontId="3" fillId="0" borderId="4" xfId="1" applyNumberFormat="1" applyFont="1" applyFill="1" applyBorder="1" applyAlignment="1">
      <alignment vertical="center"/>
    </xf>
    <xf numFmtId="168" fontId="3" fillId="0" borderId="0" xfId="1" applyNumberFormat="1" applyFont="1" applyFill="1" applyBorder="1" applyAlignment="1">
      <alignment vertical="center"/>
    </xf>
    <xf numFmtId="168" fontId="3" fillId="0" borderId="5" xfId="1" applyNumberFormat="1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2" fontId="3" fillId="2" borderId="1" xfId="4" applyNumberFormat="1" applyFont="1" applyFill="1" applyBorder="1" applyAlignment="1">
      <alignment vertical="center"/>
    </xf>
    <xf numFmtId="168" fontId="3" fillId="0" borderId="1" xfId="1" applyNumberFormat="1" applyFont="1" applyFill="1" applyBorder="1" applyAlignment="1">
      <alignment vertical="center"/>
    </xf>
    <xf numFmtId="168" fontId="3" fillId="0" borderId="13" xfId="1" applyNumberFormat="1" applyFont="1" applyFill="1" applyBorder="1" applyAlignment="1">
      <alignment vertical="center"/>
    </xf>
    <xf numFmtId="0" fontId="15" fillId="2" borderId="10" xfId="4" applyFont="1" applyFill="1" applyBorder="1" applyAlignment="1">
      <alignment vertical="center"/>
    </xf>
    <xf numFmtId="2" fontId="15" fillId="2" borderId="10" xfId="4" applyNumberFormat="1" applyFont="1" applyFill="1" applyBorder="1" applyAlignment="1">
      <alignment vertical="center"/>
    </xf>
    <xf numFmtId="168" fontId="15" fillId="0" borderId="10" xfId="1" applyNumberFormat="1" applyFont="1" applyFill="1" applyBorder="1" applyAlignment="1">
      <alignment vertical="center"/>
    </xf>
    <xf numFmtId="168" fontId="15" fillId="0" borderId="11" xfId="1" applyNumberFormat="1" applyFont="1" applyFill="1" applyBorder="1" applyAlignment="1">
      <alignment vertical="center"/>
    </xf>
    <xf numFmtId="168" fontId="15" fillId="0" borderId="2" xfId="1" applyNumberFormat="1" applyFont="1" applyFill="1" applyBorder="1" applyAlignment="1">
      <alignment vertical="center"/>
    </xf>
    <xf numFmtId="168" fontId="15" fillId="0" borderId="4" xfId="1" applyNumberFormat="1" applyFont="1" applyFill="1" applyBorder="1" applyAlignment="1">
      <alignment vertical="center"/>
    </xf>
    <xf numFmtId="168" fontId="3" fillId="0" borderId="0" xfId="4" applyNumberFormat="1" applyFont="1" applyAlignment="1">
      <alignment vertical="center"/>
    </xf>
    <xf numFmtId="168" fontId="3" fillId="0" borderId="4" xfId="4" applyNumberFormat="1" applyFont="1" applyBorder="1" applyAlignment="1">
      <alignment vertical="center"/>
    </xf>
    <xf numFmtId="168" fontId="3" fillId="0" borderId="5" xfId="4" applyNumberFormat="1" applyFont="1" applyBorder="1" applyAlignment="1">
      <alignment vertical="center"/>
    </xf>
    <xf numFmtId="168" fontId="20" fillId="2" borderId="0" xfId="1" applyNumberFormat="1" applyFont="1" applyFill="1" applyBorder="1" applyAlignment="1">
      <alignment horizontal="right" vertical="center"/>
    </xf>
    <xf numFmtId="168" fontId="20" fillId="2" borderId="4" xfId="1" applyNumberFormat="1" applyFont="1" applyFill="1" applyBorder="1" applyAlignment="1">
      <alignment horizontal="right" vertical="center"/>
    </xf>
    <xf numFmtId="168" fontId="14" fillId="2" borderId="4" xfId="1" applyNumberFormat="1" applyFont="1" applyFill="1" applyBorder="1" applyAlignment="1">
      <alignment horizontal="right" vertical="center"/>
    </xf>
    <xf numFmtId="2" fontId="15" fillId="2" borderId="0" xfId="4" applyNumberFormat="1" applyFont="1" applyFill="1" applyAlignment="1">
      <alignment vertical="center"/>
    </xf>
    <xf numFmtId="168" fontId="15" fillId="2" borderId="0" xfId="1" applyNumberFormat="1" applyFont="1" applyFill="1" applyBorder="1" applyAlignment="1">
      <alignment vertical="center"/>
    </xf>
    <xf numFmtId="168" fontId="15" fillId="2" borderId="4" xfId="1" applyNumberFormat="1" applyFont="1" applyFill="1" applyBorder="1" applyAlignment="1">
      <alignment vertical="center"/>
    </xf>
    <xf numFmtId="168" fontId="15" fillId="2" borderId="5" xfId="1" applyNumberFormat="1" applyFont="1" applyFill="1" applyBorder="1" applyAlignment="1">
      <alignment vertical="center"/>
    </xf>
    <xf numFmtId="168" fontId="14" fillId="0" borderId="4" xfId="1" applyNumberFormat="1" applyFont="1" applyFill="1" applyBorder="1" applyAlignment="1">
      <alignment horizontal="right" vertical="center"/>
    </xf>
    <xf numFmtId="0" fontId="6" fillId="0" borderId="3" xfId="4" applyFont="1" applyBorder="1" applyAlignment="1">
      <alignment vertical="center"/>
    </xf>
    <xf numFmtId="168" fontId="15" fillId="0" borderId="0" xfId="1" applyNumberFormat="1" applyFont="1" applyFill="1" applyBorder="1" applyAlignment="1">
      <alignment vertical="center"/>
    </xf>
    <xf numFmtId="168" fontId="15" fillId="0" borderId="5" xfId="1" applyNumberFormat="1" applyFont="1" applyFill="1" applyBorder="1" applyAlignment="1">
      <alignment vertical="center"/>
    </xf>
    <xf numFmtId="168" fontId="23" fillId="0" borderId="4" xfId="1" applyNumberFormat="1" applyFont="1" applyFill="1" applyBorder="1" applyAlignment="1">
      <alignment horizontal="right" vertical="center"/>
    </xf>
    <xf numFmtId="168" fontId="3" fillId="0" borderId="6" xfId="1" applyNumberFormat="1" applyFont="1" applyFill="1" applyBorder="1" applyAlignment="1">
      <alignment vertical="center"/>
    </xf>
    <xf numFmtId="168" fontId="3" fillId="0" borderId="1" xfId="4" applyNumberFormat="1" applyFont="1" applyBorder="1" applyAlignment="1">
      <alignment vertical="center"/>
    </xf>
    <xf numFmtId="168" fontId="3" fillId="0" borderId="6" xfId="4" applyNumberFormat="1" applyFont="1" applyBorder="1" applyAlignment="1">
      <alignment vertical="center"/>
    </xf>
    <xf numFmtId="168" fontId="3" fillId="0" borderId="13" xfId="4" applyNumberFormat="1" applyFont="1" applyBorder="1" applyAlignment="1">
      <alignment vertical="center"/>
    </xf>
    <xf numFmtId="37" fontId="3" fillId="2" borderId="0" xfId="4" applyNumberFormat="1" applyFont="1" applyFill="1" applyAlignment="1">
      <alignment vertical="center"/>
    </xf>
    <xf numFmtId="37" fontId="3" fillId="2" borderId="4" xfId="4" applyNumberFormat="1" applyFont="1" applyFill="1" applyBorder="1" applyAlignment="1">
      <alignment vertical="center"/>
    </xf>
    <xf numFmtId="37" fontId="3" fillId="2" borderId="5" xfId="4" applyNumberFormat="1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37" fontId="3" fillId="0" borderId="0" xfId="4" applyNumberFormat="1" applyFont="1" applyAlignment="1">
      <alignment vertical="center"/>
    </xf>
    <xf numFmtId="37" fontId="3" fillId="0" borderId="4" xfId="4" applyNumberFormat="1" applyFont="1" applyBorder="1" applyAlignment="1">
      <alignment vertical="center"/>
    </xf>
    <xf numFmtId="37" fontId="3" fillId="0" borderId="5" xfId="4" applyNumberFormat="1" applyFont="1" applyBorder="1" applyAlignment="1">
      <alignment vertical="center"/>
    </xf>
    <xf numFmtId="0" fontId="14" fillId="2" borderId="0" xfId="4" applyFont="1" applyFill="1" applyAlignment="1">
      <alignment vertical="center"/>
    </xf>
    <xf numFmtId="0" fontId="14" fillId="0" borderId="0" xfId="4" applyFont="1" applyAlignment="1">
      <alignment vertical="center"/>
    </xf>
    <xf numFmtId="168" fontId="15" fillId="0" borderId="8" xfId="1" applyNumberFormat="1" applyFont="1" applyFill="1" applyBorder="1" applyAlignment="1">
      <alignment vertical="center"/>
    </xf>
    <xf numFmtId="168" fontId="15" fillId="0" borderId="9" xfId="1" applyNumberFormat="1" applyFont="1" applyFill="1" applyBorder="1" applyAlignment="1">
      <alignment vertical="center"/>
    </xf>
    <xf numFmtId="168" fontId="3" fillId="2" borderId="5" xfId="4" applyNumberFormat="1" applyFont="1" applyFill="1" applyBorder="1" applyAlignment="1">
      <alignment vertical="center"/>
    </xf>
    <xf numFmtId="168" fontId="15" fillId="0" borderId="4" xfId="4" applyNumberFormat="1" applyFont="1" applyBorder="1" applyAlignment="1">
      <alignment vertical="center"/>
    </xf>
    <xf numFmtId="168" fontId="3" fillId="2" borderId="0" xfId="4" applyNumberFormat="1" applyFont="1" applyFill="1" applyAlignment="1">
      <alignment vertical="center"/>
    </xf>
    <xf numFmtId="168" fontId="3" fillId="2" borderId="4" xfId="4" applyNumberFormat="1" applyFont="1" applyFill="1" applyBorder="1" applyAlignment="1">
      <alignment vertical="center"/>
    </xf>
    <xf numFmtId="168" fontId="20" fillId="0" borderId="1" xfId="4" applyNumberFormat="1" applyFont="1" applyBorder="1" applyAlignment="1">
      <alignment vertical="center"/>
    </xf>
    <xf numFmtId="168" fontId="20" fillId="0" borderId="0" xfId="4" applyNumberFormat="1" applyFont="1" applyAlignment="1">
      <alignment vertical="center"/>
    </xf>
    <xf numFmtId="168" fontId="15" fillId="0" borderId="0" xfId="4" applyNumberFormat="1" applyFont="1" applyAlignment="1">
      <alignment vertical="center"/>
    </xf>
    <xf numFmtId="168" fontId="15" fillId="0" borderId="8" xfId="4" applyNumberFormat="1" applyFont="1" applyBorder="1" applyAlignment="1">
      <alignment vertical="center"/>
    </xf>
    <xf numFmtId="168" fontId="15" fillId="2" borderId="7" xfId="4" applyNumberFormat="1" applyFont="1" applyFill="1" applyBorder="1" applyAlignment="1">
      <alignment vertical="center"/>
    </xf>
    <xf numFmtId="168" fontId="15" fillId="2" borderId="5" xfId="4" applyNumberFormat="1" applyFont="1" applyFill="1" applyBorder="1" applyAlignment="1">
      <alignment vertical="center"/>
    </xf>
    <xf numFmtId="168" fontId="3" fillId="2" borderId="13" xfId="4" applyNumberFormat="1" applyFont="1" applyFill="1" applyBorder="1" applyAlignment="1">
      <alignment vertical="center"/>
    </xf>
    <xf numFmtId="0" fontId="6" fillId="2" borderId="10" xfId="4" applyFont="1" applyFill="1" applyBorder="1" applyAlignment="1">
      <alignment vertical="center"/>
    </xf>
    <xf numFmtId="168" fontId="15" fillId="0" borderId="10" xfId="4" applyNumberFormat="1" applyFont="1" applyBorder="1" applyAlignment="1">
      <alignment vertical="center"/>
    </xf>
    <xf numFmtId="168" fontId="15" fillId="0" borderId="11" xfId="4" applyNumberFormat="1" applyFont="1" applyBorder="1" applyAlignment="1">
      <alignment vertical="center"/>
    </xf>
    <xf numFmtId="168" fontId="16" fillId="0" borderId="10" xfId="4" applyNumberFormat="1" applyFont="1" applyBorder="1" applyAlignment="1">
      <alignment vertical="center"/>
    </xf>
    <xf numFmtId="168" fontId="15" fillId="2" borderId="2" xfId="4" applyNumberFormat="1" applyFont="1" applyFill="1" applyBorder="1" applyAlignment="1">
      <alignment vertical="center"/>
    </xf>
    <xf numFmtId="168" fontId="5" fillId="0" borderId="0" xfId="1" applyNumberFormat="1" applyFont="1" applyFill="1" applyBorder="1" applyAlignment="1">
      <alignment vertical="center"/>
    </xf>
    <xf numFmtId="168" fontId="5" fillId="0" borderId="4" xfId="1" applyNumberFormat="1" applyFont="1" applyFill="1" applyBorder="1" applyAlignment="1">
      <alignment vertical="center"/>
    </xf>
    <xf numFmtId="1" fontId="5" fillId="2" borderId="5" xfId="1" applyNumberFormat="1" applyFont="1" applyFill="1" applyBorder="1" applyAlignment="1">
      <alignment vertical="center"/>
    </xf>
    <xf numFmtId="0" fontId="5" fillId="0" borderId="1" xfId="4" applyFont="1" applyBorder="1" applyAlignment="1">
      <alignment vertical="center"/>
    </xf>
    <xf numFmtId="37" fontId="5" fillId="0" borderId="1" xfId="4" applyNumberFormat="1" applyFont="1" applyBorder="1" applyAlignment="1">
      <alignment vertical="center"/>
    </xf>
    <xf numFmtId="37" fontId="5" fillId="0" borderId="6" xfId="4" applyNumberFormat="1" applyFont="1" applyBorder="1" applyAlignment="1">
      <alignment vertical="center"/>
    </xf>
    <xf numFmtId="37" fontId="5" fillId="2" borderId="13" xfId="4" applyNumberFormat="1" applyFont="1" applyFill="1" applyBorder="1" applyAlignment="1">
      <alignment vertical="center"/>
    </xf>
    <xf numFmtId="169" fontId="3" fillId="0" borderId="0" xfId="4" applyNumberFormat="1" applyFont="1" applyAlignment="1">
      <alignment horizontal="right" vertical="center"/>
    </xf>
    <xf numFmtId="1" fontId="13" fillId="6" borderId="0" xfId="4" applyNumberFormat="1" applyFont="1" applyFill="1" applyAlignment="1">
      <alignment horizontal="right" vertical="center"/>
    </xf>
    <xf numFmtId="1" fontId="13" fillId="6" borderId="4" xfId="4" applyNumberFormat="1" applyFont="1" applyFill="1" applyBorder="1" applyAlignment="1">
      <alignment horizontal="right" vertical="center"/>
    </xf>
    <xf numFmtId="1" fontId="13" fillId="6" borderId="5" xfId="4" applyNumberFormat="1" applyFont="1" applyFill="1" applyBorder="1" applyAlignment="1">
      <alignment horizontal="right" vertical="center"/>
    </xf>
    <xf numFmtId="169" fontId="3" fillId="2" borderId="0" xfId="4" applyNumberFormat="1" applyFont="1" applyFill="1" applyAlignment="1">
      <alignment horizontal="right" vertical="center"/>
    </xf>
    <xf numFmtId="169" fontId="3" fillId="2" borderId="4" xfId="4" applyNumberFormat="1" applyFont="1" applyFill="1" applyBorder="1" applyAlignment="1">
      <alignment horizontal="right" vertical="center"/>
    </xf>
    <xf numFmtId="169" fontId="3" fillId="2" borderId="5" xfId="4" applyNumberFormat="1" applyFont="1" applyFill="1" applyBorder="1" applyAlignment="1">
      <alignment horizontal="right" vertical="center"/>
    </xf>
    <xf numFmtId="0" fontId="2" fillId="2" borderId="4" xfId="4" applyFont="1" applyFill="1" applyBorder="1" applyAlignment="1">
      <alignment vertical="center"/>
    </xf>
    <xf numFmtId="170" fontId="3" fillId="2" borderId="0" xfId="4" applyNumberFormat="1" applyFont="1" applyFill="1" applyAlignment="1">
      <alignment horizontal="right" vertical="center"/>
    </xf>
    <xf numFmtId="170" fontId="3" fillId="2" borderId="4" xfId="4" applyNumberFormat="1" applyFont="1" applyFill="1" applyBorder="1" applyAlignment="1">
      <alignment horizontal="left" vertical="center"/>
    </xf>
    <xf numFmtId="170" fontId="3" fillId="2" borderId="5" xfId="4" applyNumberFormat="1" applyFont="1" applyFill="1" applyBorder="1" applyAlignment="1">
      <alignment horizontal="right" vertical="center"/>
    </xf>
    <xf numFmtId="171" fontId="3" fillId="2" borderId="0" xfId="4" applyNumberFormat="1" applyFont="1" applyFill="1" applyAlignment="1">
      <alignment horizontal="right" vertical="center"/>
    </xf>
    <xf numFmtId="171" fontId="3" fillId="2" borderId="4" xfId="4" applyNumberFormat="1" applyFont="1" applyFill="1" applyBorder="1" applyAlignment="1">
      <alignment horizontal="right" vertical="center"/>
    </xf>
    <xf numFmtId="171" fontId="3" fillId="2" borderId="5" xfId="4" applyNumberFormat="1" applyFont="1" applyFill="1" applyBorder="1" applyAlignment="1">
      <alignment horizontal="right" vertical="center"/>
    </xf>
    <xf numFmtId="171" fontId="3" fillId="0" borderId="0" xfId="4" applyNumberFormat="1" applyFont="1" applyAlignment="1">
      <alignment horizontal="right" vertical="center"/>
    </xf>
    <xf numFmtId="171" fontId="3" fillId="0" borderId="4" xfId="4" applyNumberFormat="1" applyFont="1" applyBorder="1" applyAlignment="1">
      <alignment horizontal="right" vertical="center"/>
    </xf>
    <xf numFmtId="171" fontId="3" fillId="0" borderId="5" xfId="4" applyNumberFormat="1" applyFont="1" applyBorder="1" applyAlignment="1">
      <alignment horizontal="right" vertical="center"/>
    </xf>
    <xf numFmtId="0" fontId="2" fillId="0" borderId="4" xfId="4" applyFont="1" applyBorder="1" applyAlignment="1">
      <alignment vertical="center"/>
    </xf>
    <xf numFmtId="1" fontId="5" fillId="0" borderId="0" xfId="1" applyNumberFormat="1" applyFont="1" applyAlignment="1">
      <alignment vertical="center"/>
    </xf>
    <xf numFmtId="169" fontId="3" fillId="0" borderId="4" xfId="4" applyNumberFormat="1" applyFont="1" applyBorder="1" applyAlignment="1">
      <alignment horizontal="right" vertical="center"/>
    </xf>
    <xf numFmtId="169" fontId="3" fillId="0" borderId="5" xfId="4" applyNumberFormat="1" applyFont="1" applyBorder="1" applyAlignment="1">
      <alignment horizontal="right" vertical="center"/>
    </xf>
    <xf numFmtId="169" fontId="20" fillId="2" borderId="0" xfId="4" applyNumberFormat="1" applyFont="1" applyFill="1" applyAlignment="1">
      <alignment horizontal="right" vertical="center"/>
    </xf>
    <xf numFmtId="1" fontId="5" fillId="0" borderId="0" xfId="1" applyNumberFormat="1" applyFont="1" applyFill="1" applyAlignment="1">
      <alignment vertical="center"/>
    </xf>
    <xf numFmtId="3" fontId="2" fillId="0" borderId="0" xfId="4" applyNumberFormat="1" applyFont="1" applyAlignment="1">
      <alignment vertical="center"/>
    </xf>
    <xf numFmtId="168" fontId="3" fillId="0" borderId="0" xfId="1" applyNumberFormat="1" applyFont="1" applyAlignment="1">
      <alignment horizontal="right" vertical="center"/>
    </xf>
    <xf numFmtId="168" fontId="3" fillId="0" borderId="4" xfId="1" applyNumberFormat="1" applyFont="1" applyBorder="1" applyAlignment="1">
      <alignment horizontal="right" vertical="center"/>
    </xf>
    <xf numFmtId="168" fontId="3" fillId="0" borderId="5" xfId="1" applyNumberFormat="1" applyFont="1" applyBorder="1" applyAlignment="1">
      <alignment horizontal="right" vertical="center"/>
    </xf>
    <xf numFmtId="37" fontId="20" fillId="0" borderId="0" xfId="4" applyNumberFormat="1" applyFont="1" applyAlignment="1">
      <alignment vertical="center"/>
    </xf>
    <xf numFmtId="0" fontId="3" fillId="0" borderId="8" xfId="4" applyFont="1" applyBorder="1" applyAlignment="1">
      <alignment vertical="center"/>
    </xf>
    <xf numFmtId="37" fontId="3" fillId="0" borderId="8" xfId="4" applyNumberFormat="1" applyFont="1" applyBorder="1" applyAlignment="1">
      <alignment vertical="center"/>
    </xf>
    <xf numFmtId="37" fontId="3" fillId="0" borderId="9" xfId="4" applyNumberFormat="1" applyFont="1" applyBorder="1" applyAlignment="1">
      <alignment vertical="center"/>
    </xf>
    <xf numFmtId="37" fontId="3" fillId="0" borderId="7" xfId="4" applyNumberFormat="1" applyFont="1" applyBorder="1" applyAlignment="1">
      <alignment vertical="center"/>
    </xf>
    <xf numFmtId="169" fontId="20" fillId="0" borderId="0" xfId="4" applyNumberFormat="1" applyFont="1" applyAlignment="1">
      <alignment horizontal="right" vertical="center"/>
    </xf>
    <xf numFmtId="0" fontId="24" fillId="0" borderId="0" xfId="4" applyFont="1" applyAlignment="1">
      <alignment vertical="center"/>
    </xf>
    <xf numFmtId="0" fontId="24" fillId="0" borderId="4" xfId="4" applyFont="1" applyBorder="1" applyAlignment="1">
      <alignment vertical="center"/>
    </xf>
    <xf numFmtId="0" fontId="24" fillId="0" borderId="5" xfId="4" applyFont="1" applyBorder="1" applyAlignment="1">
      <alignment vertical="center"/>
    </xf>
    <xf numFmtId="1" fontId="5" fillId="0" borderId="0" xfId="1" applyNumberFormat="1" applyFont="1" applyBorder="1" applyAlignment="1">
      <alignment vertical="center"/>
    </xf>
    <xf numFmtId="168" fontId="3" fillId="0" borderId="5" xfId="1" applyNumberFormat="1" applyFont="1" applyFill="1" applyBorder="1" applyAlignment="1">
      <alignment horizontal="right" vertical="center"/>
    </xf>
    <xf numFmtId="0" fontId="14" fillId="0" borderId="1" xfId="4" applyFont="1" applyBorder="1" applyAlignment="1">
      <alignment vertical="center"/>
    </xf>
    <xf numFmtId="3" fontId="2" fillId="0" borderId="1" xfId="4" applyNumberFormat="1" applyFont="1" applyBorder="1" applyAlignment="1">
      <alignment vertical="center"/>
    </xf>
    <xf numFmtId="168" fontId="3" fillId="0" borderId="1" xfId="1" applyNumberFormat="1" applyFont="1" applyFill="1" applyBorder="1" applyAlignment="1">
      <alignment horizontal="right" vertical="center"/>
    </xf>
    <xf numFmtId="168" fontId="3" fillId="0" borderId="6" xfId="1" applyNumberFormat="1" applyFont="1" applyFill="1" applyBorder="1" applyAlignment="1">
      <alignment horizontal="right" vertical="center"/>
    </xf>
    <xf numFmtId="168" fontId="3" fillId="0" borderId="13" xfId="1" applyNumberFormat="1" applyFont="1" applyFill="1" applyBorder="1" applyAlignment="1">
      <alignment horizontal="right" vertical="center"/>
    </xf>
    <xf numFmtId="3" fontId="6" fillId="0" borderId="0" xfId="4" applyNumberFormat="1" applyFont="1" applyAlignment="1">
      <alignment vertical="center"/>
    </xf>
    <xf numFmtId="168" fontId="3" fillId="0" borderId="0" xfId="1" applyNumberFormat="1" applyFont="1" applyBorder="1" applyAlignment="1">
      <alignment horizontal="right" vertical="center"/>
    </xf>
    <xf numFmtId="0" fontId="14" fillId="0" borderId="10" xfId="4" applyFont="1" applyBorder="1" applyAlignment="1">
      <alignment vertical="center"/>
    </xf>
    <xf numFmtId="3" fontId="6" fillId="0" borderId="10" xfId="4" applyNumberFormat="1" applyFont="1" applyBorder="1" applyAlignment="1">
      <alignment vertical="center"/>
    </xf>
    <xf numFmtId="168" fontId="15" fillId="0" borderId="10" xfId="1" applyNumberFormat="1" applyFont="1" applyFill="1" applyBorder="1" applyAlignment="1">
      <alignment horizontal="right" vertical="center"/>
    </xf>
    <xf numFmtId="168" fontId="15" fillId="0" borderId="11" xfId="1" applyNumberFormat="1" applyFont="1" applyFill="1" applyBorder="1" applyAlignment="1">
      <alignment horizontal="right" vertical="center"/>
    </xf>
    <xf numFmtId="168" fontId="15" fillId="0" borderId="2" xfId="1" applyNumberFormat="1" applyFont="1" applyFill="1" applyBorder="1" applyAlignment="1">
      <alignment horizontal="right" vertical="center"/>
    </xf>
    <xf numFmtId="3" fontId="2" fillId="2" borderId="0" xfId="4" applyNumberFormat="1" applyFont="1" applyFill="1" applyAlignment="1">
      <alignment vertical="center"/>
    </xf>
    <xf numFmtId="168" fontId="3" fillId="2" borderId="4" xfId="1" applyNumberFormat="1" applyFont="1" applyFill="1" applyBorder="1" applyAlignment="1">
      <alignment horizontal="right" vertical="center"/>
    </xf>
    <xf numFmtId="169" fontId="20" fillId="2" borderId="2" xfId="2" applyNumberFormat="1" applyFont="1" applyFill="1" applyBorder="1" applyAlignment="1">
      <alignment vertical="center"/>
    </xf>
    <xf numFmtId="0" fontId="14" fillId="2" borderId="1" xfId="4" applyFont="1" applyFill="1" applyBorder="1" applyAlignment="1">
      <alignment vertical="center"/>
    </xf>
    <xf numFmtId="3" fontId="2" fillId="2" borderId="1" xfId="4" applyNumberFormat="1" applyFont="1" applyFill="1" applyBorder="1" applyAlignment="1">
      <alignment vertical="center"/>
    </xf>
    <xf numFmtId="168" fontId="3" fillId="2" borderId="1" xfId="1" applyNumberFormat="1" applyFont="1" applyFill="1" applyBorder="1" applyAlignment="1">
      <alignment horizontal="right" vertical="center"/>
    </xf>
    <xf numFmtId="3" fontId="6" fillId="2" borderId="0" xfId="4" applyNumberFormat="1" applyFont="1" applyFill="1" applyAlignment="1">
      <alignment vertical="center"/>
    </xf>
    <xf numFmtId="168" fontId="15" fillId="2" borderId="9" xfId="1" applyNumberFormat="1" applyFont="1" applyFill="1" applyBorder="1" applyAlignment="1">
      <alignment horizontal="right" vertical="center"/>
    </xf>
    <xf numFmtId="168" fontId="15" fillId="2" borderId="0" xfId="1" applyNumberFormat="1" applyFont="1" applyFill="1" applyBorder="1" applyAlignment="1">
      <alignment horizontal="right" vertical="center"/>
    </xf>
    <xf numFmtId="43" fontId="17" fillId="2" borderId="0" xfId="1" applyFont="1" applyFill="1" applyBorder="1" applyAlignment="1">
      <alignment vertical="center"/>
    </xf>
    <xf numFmtId="43" fontId="17" fillId="2" borderId="3" xfId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vertical="center"/>
    </xf>
    <xf numFmtId="1" fontId="5" fillId="2" borderId="4" xfId="1" applyNumberFormat="1" applyFont="1" applyFill="1" applyBorder="1" applyAlignment="1">
      <alignment vertical="center"/>
    </xf>
    <xf numFmtId="43" fontId="5" fillId="2" borderId="4" xfId="1" applyFont="1" applyFill="1" applyBorder="1" applyAlignment="1">
      <alignment vertical="center"/>
    </xf>
    <xf numFmtId="43" fontId="17" fillId="2" borderId="0" xfId="1" applyFont="1" applyFill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13" xfId="4" applyFont="1" applyBorder="1" applyAlignment="1">
      <alignment vertical="center"/>
    </xf>
    <xf numFmtId="0" fontId="2" fillId="0" borderId="6" xfId="4" applyFont="1" applyBorder="1" applyAlignment="1">
      <alignment vertical="center"/>
    </xf>
    <xf numFmtId="0" fontId="6" fillId="2" borderId="3" xfId="4" applyFont="1" applyFill="1" applyBorder="1" applyAlignment="1">
      <alignment vertical="center"/>
    </xf>
    <xf numFmtId="1" fontId="2" fillId="2" borderId="10" xfId="4" applyNumberFormat="1" applyFont="1" applyFill="1" applyBorder="1" applyAlignment="1">
      <alignment vertical="center"/>
    </xf>
    <xf numFmtId="168" fontId="16" fillId="2" borderId="4" xfId="1" applyNumberFormat="1" applyFont="1" applyFill="1" applyBorder="1" applyAlignment="1">
      <alignment vertical="center"/>
    </xf>
    <xf numFmtId="168" fontId="16" fillId="2" borderId="0" xfId="1" applyNumberFormat="1" applyFont="1" applyFill="1" applyBorder="1" applyAlignment="1">
      <alignment vertical="center"/>
    </xf>
    <xf numFmtId="168" fontId="16" fillId="2" borderId="5" xfId="1" applyNumberFormat="1" applyFont="1" applyFill="1" applyBorder="1" applyAlignment="1">
      <alignment vertical="center"/>
    </xf>
    <xf numFmtId="0" fontId="15" fillId="2" borderId="4" xfId="4" applyFont="1" applyFill="1" applyBorder="1" applyAlignment="1">
      <alignment vertical="center"/>
    </xf>
    <xf numFmtId="168" fontId="15" fillId="2" borderId="5" xfId="1" applyNumberFormat="1" applyFont="1" applyFill="1" applyBorder="1" applyAlignment="1">
      <alignment horizontal="right" vertical="center"/>
    </xf>
    <xf numFmtId="0" fontId="2" fillId="2" borderId="5" xfId="4" applyFont="1" applyFill="1" applyBorder="1" applyAlignment="1">
      <alignment vertical="center"/>
    </xf>
    <xf numFmtId="167" fontId="13" fillId="2" borderId="0" xfId="4" applyNumberFormat="1" applyFont="1" applyFill="1" applyAlignment="1">
      <alignment horizontal="left" vertical="center"/>
    </xf>
    <xf numFmtId="167" fontId="13" fillId="2" borderId="1" xfId="4" applyNumberFormat="1" applyFont="1" applyFill="1" applyBorder="1" applyAlignment="1">
      <alignment horizontal="left" vertical="center"/>
    </xf>
    <xf numFmtId="167" fontId="14" fillId="2" borderId="0" xfId="4" applyNumberFormat="1" applyFont="1" applyFill="1" applyAlignment="1">
      <alignment horizontal="left" vertical="center"/>
    </xf>
    <xf numFmtId="168" fontId="3" fillId="2" borderId="1" xfId="1" applyNumberFormat="1" applyFont="1" applyFill="1" applyBorder="1" applyAlignment="1">
      <alignment vertical="center"/>
    </xf>
    <xf numFmtId="167" fontId="14" fillId="2" borderId="1" xfId="4" applyNumberFormat="1" applyFont="1" applyFill="1" applyBorder="1" applyAlignment="1">
      <alignment horizontal="left" vertical="center"/>
    </xf>
    <xf numFmtId="168" fontId="3" fillId="2" borderId="6" xfId="1" applyNumberFormat="1" applyFont="1" applyFill="1" applyBorder="1" applyAlignment="1">
      <alignment vertical="center"/>
    </xf>
    <xf numFmtId="168" fontId="3" fillId="2" borderId="13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3" fillId="2" borderId="10" xfId="4" applyFont="1" applyFill="1" applyBorder="1" applyAlignment="1">
      <alignment horizontal="left" vertical="center"/>
    </xf>
    <xf numFmtId="167" fontId="23" fillId="2" borderId="10" xfId="4" applyNumberFormat="1" applyFont="1" applyFill="1" applyBorder="1" applyAlignment="1">
      <alignment horizontal="left" vertical="center"/>
    </xf>
    <xf numFmtId="168" fontId="15" fillId="2" borderId="10" xfId="1" applyNumberFormat="1" applyFont="1" applyFill="1" applyBorder="1" applyAlignment="1">
      <alignment vertical="center"/>
    </xf>
    <xf numFmtId="168" fontId="15" fillId="2" borderId="11" xfId="1" applyNumberFormat="1" applyFont="1" applyFill="1" applyBorder="1" applyAlignment="1">
      <alignment vertical="center"/>
    </xf>
    <xf numFmtId="168" fontId="15" fillId="2" borderId="2" xfId="1" applyNumberFormat="1" applyFont="1" applyFill="1" applyBorder="1" applyAlignment="1">
      <alignment vertical="center"/>
    </xf>
    <xf numFmtId="166" fontId="12" fillId="4" borderId="0" xfId="0" applyNumberFormat="1" applyFont="1" applyFill="1" applyAlignment="1">
      <alignment horizontal="right" vertical="center"/>
    </xf>
    <xf numFmtId="0" fontId="25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horizontal="right" vertical="center"/>
    </xf>
    <xf numFmtId="3" fontId="3" fillId="2" borderId="0" xfId="4" applyNumberFormat="1" applyFont="1" applyFill="1" applyAlignment="1">
      <alignment horizontal="right" vertical="center"/>
    </xf>
    <xf numFmtId="169" fontId="3" fillId="0" borderId="0" xfId="2" applyNumberFormat="1" applyFont="1" applyFill="1" applyAlignment="1">
      <alignment horizontal="right" vertical="center"/>
    </xf>
    <xf numFmtId="169" fontId="3" fillId="2" borderId="0" xfId="2" applyNumberFormat="1" applyFont="1" applyFill="1" applyAlignment="1">
      <alignment horizontal="right" vertical="center"/>
    </xf>
    <xf numFmtId="0" fontId="25" fillId="2" borderId="0" xfId="4" applyFont="1" applyFill="1" applyAlignment="1">
      <alignment vertical="center"/>
    </xf>
    <xf numFmtId="3" fontId="3" fillId="2" borderId="0" xfId="4" applyNumberFormat="1" applyFont="1" applyFill="1" applyAlignment="1">
      <alignment vertical="center"/>
    </xf>
    <xf numFmtId="3" fontId="3" fillId="2" borderId="4" xfId="4" applyNumberFormat="1" applyFont="1" applyFill="1" applyBorder="1" applyAlignment="1">
      <alignment vertical="center"/>
    </xf>
    <xf numFmtId="167" fontId="13" fillId="2" borderId="0" xfId="4" applyNumberFormat="1" applyFont="1" applyFill="1" applyAlignment="1">
      <alignment horizontal="right" vertical="center"/>
    </xf>
    <xf numFmtId="3" fontId="3" fillId="0" borderId="4" xfId="4" applyNumberFormat="1" applyFont="1" applyBorder="1" applyAlignment="1">
      <alignment horizontal="right" vertical="center"/>
    </xf>
    <xf numFmtId="4" fontId="3" fillId="0" borderId="4" xfId="4" applyNumberFormat="1" applyFont="1" applyBorder="1" applyAlignment="1">
      <alignment horizontal="right" vertical="center"/>
    </xf>
    <xf numFmtId="4" fontId="3" fillId="0" borderId="0" xfId="4" applyNumberFormat="1" applyFont="1" applyAlignment="1">
      <alignment horizontal="right" vertical="center"/>
    </xf>
    <xf numFmtId="4" fontId="3" fillId="2" borderId="0" xfId="4" applyNumberFormat="1" applyFont="1" applyFill="1" applyAlignment="1">
      <alignment horizontal="right" vertical="center"/>
    </xf>
    <xf numFmtId="0" fontId="25" fillId="0" borderId="0" xfId="4" applyFont="1" applyAlignment="1">
      <alignment vertical="center"/>
    </xf>
    <xf numFmtId="0" fontId="6" fillId="0" borderId="0" xfId="4" applyFont="1" applyAlignment="1">
      <alignment horizontal="left" wrapText="1" indent="4"/>
    </xf>
    <xf numFmtId="3" fontId="15" fillId="0" borderId="0" xfId="4" applyNumberFormat="1" applyFont="1" applyAlignment="1">
      <alignment horizontal="right"/>
    </xf>
    <xf numFmtId="3" fontId="15" fillId="2" borderId="0" xfId="4" applyNumberFormat="1" applyFont="1" applyFill="1" applyAlignment="1">
      <alignment horizontal="right"/>
    </xf>
    <xf numFmtId="3" fontId="19" fillId="0" borderId="0" xfId="4" applyNumberFormat="1" applyFont="1" applyAlignment="1">
      <alignment horizontal="right" vertical="center"/>
    </xf>
    <xf numFmtId="3" fontId="8" fillId="0" borderId="0" xfId="4" applyNumberFormat="1" applyFont="1" applyAlignment="1">
      <alignment horizontal="right" vertical="center"/>
    </xf>
    <xf numFmtId="3" fontId="19" fillId="2" borderId="0" xfId="4" applyNumberFormat="1" applyFont="1" applyFill="1" applyAlignment="1">
      <alignment horizontal="right" vertical="center"/>
    </xf>
    <xf numFmtId="3" fontId="26" fillId="0" borderId="0" xfId="4" applyNumberFormat="1" applyFont="1" applyAlignment="1">
      <alignment horizontal="right" vertical="center"/>
    </xf>
    <xf numFmtId="168" fontId="26" fillId="0" borderId="0" xfId="1" applyNumberFormat="1" applyFont="1" applyAlignment="1">
      <alignment horizontal="right" vertical="center"/>
    </xf>
    <xf numFmtId="168" fontId="26" fillId="0" borderId="0" xfId="4" applyNumberFormat="1" applyFont="1" applyAlignment="1">
      <alignment horizontal="right" vertical="center"/>
    </xf>
    <xf numFmtId="3" fontId="26" fillId="2" borderId="0" xfId="4" applyNumberFormat="1" applyFont="1" applyFill="1" applyAlignment="1">
      <alignment horizontal="right" vertical="center"/>
    </xf>
    <xf numFmtId="168" fontId="3" fillId="0" borderId="0" xfId="4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28" fillId="0" borderId="0" xfId="3" applyNumberFormat="1" applyFont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7" fillId="0" borderId="0" xfId="5" applyFont="1" applyAlignment="1">
      <alignment horizontal="left" vertical="center"/>
    </xf>
    <xf numFmtId="168" fontId="0" fillId="0" borderId="0" xfId="0" applyNumberFormat="1"/>
    <xf numFmtId="0" fontId="27" fillId="0" borderId="0" xfId="3"/>
    <xf numFmtId="0" fontId="30" fillId="0" borderId="0" xfId="0" applyFont="1"/>
    <xf numFmtId="0" fontId="31" fillId="0" borderId="0" xfId="6"/>
    <xf numFmtId="0" fontId="15" fillId="0" borderId="0" xfId="0" applyFont="1"/>
    <xf numFmtId="0" fontId="31" fillId="9" borderId="0" xfId="6" applyFill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9" borderId="0" xfId="6" applyFont="1" applyFill="1"/>
    <xf numFmtId="0" fontId="37" fillId="9" borderId="0" xfId="6" applyFont="1" applyFill="1"/>
    <xf numFmtId="0" fontId="37" fillId="0" borderId="0" xfId="6" applyFont="1"/>
    <xf numFmtId="0" fontId="36" fillId="0" borderId="0" xfId="6" applyFont="1"/>
    <xf numFmtId="0" fontId="36" fillId="0" borderId="0" xfId="6" applyFont="1" applyAlignment="1">
      <alignment horizontal="right"/>
    </xf>
    <xf numFmtId="0" fontId="38" fillId="0" borderId="0" xfId="3" applyFont="1"/>
    <xf numFmtId="0" fontId="37" fillId="10" borderId="0" xfId="6" applyFont="1" applyFill="1"/>
    <xf numFmtId="0" fontId="36" fillId="10" borderId="0" xfId="6" applyFont="1" applyFill="1"/>
    <xf numFmtId="0" fontId="38" fillId="10" borderId="0" xfId="3" applyFont="1" applyFill="1"/>
    <xf numFmtId="0" fontId="37" fillId="11" borderId="0" xfId="6" applyFont="1" applyFill="1"/>
    <xf numFmtId="0" fontId="36" fillId="11" borderId="0" xfId="6" applyFont="1" applyFill="1"/>
    <xf numFmtId="0" fontId="38" fillId="11" borderId="0" xfId="3" applyFont="1" applyFill="1"/>
    <xf numFmtId="0" fontId="36" fillId="9" borderId="0" xfId="6" applyFont="1" applyFill="1" applyAlignment="1">
      <alignment horizontal="center"/>
    </xf>
    <xf numFmtId="0" fontId="39" fillId="8" borderId="14" xfId="6" applyFont="1" applyFill="1" applyBorder="1"/>
    <xf numFmtId="0" fontId="39" fillId="8" borderId="15" xfId="6" applyFont="1" applyFill="1" applyBorder="1"/>
    <xf numFmtId="14" fontId="40" fillId="7" borderId="0" xfId="7" applyNumberFormat="1" applyFont="1" applyBorder="1" applyAlignment="1"/>
    <xf numFmtId="14" fontId="36" fillId="0" borderId="14" xfId="6" applyNumberFormat="1" applyFont="1" applyBorder="1"/>
    <xf numFmtId="0" fontId="36" fillId="0" borderId="15" xfId="6" applyFont="1" applyBorder="1"/>
    <xf numFmtId="0" fontId="36" fillId="0" borderId="0" xfId="6" applyFont="1" applyAlignment="1">
      <alignment horizontal="left"/>
    </xf>
    <xf numFmtId="0" fontId="41" fillId="0" borderId="0" xfId="6" applyFont="1"/>
    <xf numFmtId="0" fontId="37" fillId="0" borderId="0" xfId="6" applyFont="1" applyAlignment="1">
      <alignment horizontal="left"/>
    </xf>
    <xf numFmtId="0" fontId="38" fillId="0" borderId="0" xfId="3" applyFont="1" applyAlignment="1">
      <alignment horizontal="left"/>
    </xf>
    <xf numFmtId="14" fontId="36" fillId="0" borderId="17" xfId="6" applyNumberFormat="1" applyFont="1" applyBorder="1"/>
    <xf numFmtId="0" fontId="36" fillId="0" borderId="18" xfId="6" applyFont="1" applyBorder="1"/>
    <xf numFmtId="0" fontId="36" fillId="0" borderId="16" xfId="6" applyFont="1" applyBorder="1" applyAlignment="1">
      <alignment horizontal="right" wrapText="1"/>
    </xf>
    <xf numFmtId="0" fontId="42" fillId="0" borderId="0" xfId="6" applyFont="1"/>
    <xf numFmtId="0" fontId="38" fillId="0" borderId="0" xfId="3" applyFont="1" applyFill="1"/>
    <xf numFmtId="0" fontId="6" fillId="0" borderId="0" xfId="4" applyFont="1" applyAlignment="1">
      <alignment horizontal="left" wrapText="1" indent="4"/>
    </xf>
  </cellXfs>
  <cellStyles count="8">
    <cellStyle name="Comma" xfId="1" builtinId="3"/>
    <cellStyle name="Hyperlink" xfId="3" builtinId="8"/>
    <cellStyle name="Hyperlink 2" xfId="5" xr:uid="{4C2B0AB2-688B-45DE-A7C5-920BF6C524FC}"/>
    <cellStyle name="Neutral 2" xfId="7" xr:uid="{EA5BC07C-EEA3-4FC4-B9DC-9E1C981383F4}"/>
    <cellStyle name="Normal" xfId="0" builtinId="0"/>
    <cellStyle name="Normal 2" xfId="6" xr:uid="{F3EEB6B2-C072-4A28-A293-AFF34980D060}"/>
    <cellStyle name="Normal 3" xfId="4" xr:uid="{827D8B6E-3F27-4225-BF4F-A40CCC2BA88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2</xdr:row>
      <xdr:rowOff>14993</xdr:rowOff>
    </xdr:from>
    <xdr:to>
      <xdr:col>7</xdr:col>
      <xdr:colOff>235393</xdr:colOff>
      <xdr:row>6</xdr:row>
      <xdr:rowOff>217523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1BCA17-0EF8-418F-BF83-10D1037171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4808"/>
        <a:stretch/>
      </xdr:blipFill>
      <xdr:spPr>
        <a:xfrm>
          <a:off x="2581275" y="491243"/>
          <a:ext cx="2416618" cy="115503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4</xdr:row>
      <xdr:rowOff>195968</xdr:rowOff>
    </xdr:from>
    <xdr:to>
      <xdr:col>8</xdr:col>
      <xdr:colOff>85725</xdr:colOff>
      <xdr:row>9</xdr:row>
      <xdr:rowOff>195968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3E3FB6-B31B-AB4E-60F8-EF592F8F1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0" y="1148468"/>
          <a:ext cx="3819525" cy="11906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2ACD2AC-BAEB-4C60-9D96-F2BA061AF749}">
  <we:reference id="e2af7d35-baaf-4693-81a5-91c1957f5811" version="1.0.0.0" store="developer" storeType="Registry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ontext21.com/exce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iscord.com/invite/qYUADWRMRX" TargetMode="External"/><Relationship Id="rId1" Type="http://schemas.openxmlformats.org/officeDocument/2006/relationships/hyperlink" Target="mailto:jan@kontext21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financialmodel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A4F9B-D73C-4CE7-8E24-D1578227262D}">
  <dimension ref="A1:J16"/>
  <sheetViews>
    <sheetView showGridLines="0" tabSelected="1" zoomScaleNormal="100" workbookViewId="0"/>
  </sheetViews>
  <sheetFormatPr defaultColWidth="12.85546875" defaultRowHeight="15.75" x14ac:dyDescent="0.25"/>
  <cols>
    <col min="1" max="1" width="2.140625" style="325" customWidth="1"/>
    <col min="2" max="2" width="3.7109375" style="325" customWidth="1"/>
    <col min="3" max="3" width="1.5703125" style="325" customWidth="1"/>
    <col min="4" max="10" width="16" style="325" customWidth="1"/>
    <col min="11" max="11" width="6.140625" style="325" customWidth="1"/>
    <col min="12" max="16384" width="12.85546875" style="325"/>
  </cols>
  <sheetData>
    <row r="1" spans="1:10" s="327" customFormat="1" ht="18.75" x14ac:dyDescent="0.3">
      <c r="A1" s="331"/>
      <c r="B1" s="343" t="e" vm="1">
        <v>#VALUE!</v>
      </c>
      <c r="C1" s="331"/>
      <c r="D1" s="332" t="s">
        <v>187</v>
      </c>
      <c r="E1" s="331"/>
      <c r="F1" s="331"/>
      <c r="G1" s="331"/>
      <c r="H1" s="331"/>
      <c r="I1" s="331"/>
      <c r="J1" s="331"/>
    </row>
    <row r="2" spans="1:10" ht="18.75" x14ac:dyDescent="0.3">
      <c r="A2" s="333"/>
      <c r="B2" s="334"/>
      <c r="C2" s="334"/>
      <c r="D2" s="334"/>
      <c r="E2" s="334"/>
      <c r="F2" s="334"/>
      <c r="G2" s="334"/>
      <c r="H2" s="334"/>
      <c r="I2" s="334"/>
      <c r="J2" s="334"/>
    </row>
    <row r="3" spans="1:10" ht="18.75" x14ac:dyDescent="0.3">
      <c r="A3" s="333"/>
      <c r="B3" s="333" t="s">
        <v>182</v>
      </c>
      <c r="C3" s="334"/>
      <c r="D3" s="334"/>
      <c r="E3" s="334"/>
      <c r="F3" s="334"/>
      <c r="G3" s="334"/>
      <c r="H3" s="334"/>
      <c r="I3" s="334"/>
      <c r="J3" s="334"/>
    </row>
    <row r="4" spans="1:10" ht="18.75" x14ac:dyDescent="0.3">
      <c r="A4" s="333"/>
      <c r="B4" s="334"/>
      <c r="C4" s="334"/>
      <c r="D4" s="334"/>
      <c r="E4" s="334"/>
      <c r="F4" s="334"/>
      <c r="G4" s="334"/>
      <c r="H4" s="334"/>
      <c r="I4" s="334"/>
      <c r="J4" s="334"/>
    </row>
    <row r="5" spans="1:10" ht="18.75" x14ac:dyDescent="0.3">
      <c r="A5" s="334"/>
      <c r="B5" s="335"/>
      <c r="C5" s="334"/>
      <c r="D5" s="334"/>
      <c r="E5" s="334"/>
      <c r="F5" s="334"/>
      <c r="G5" s="334"/>
      <c r="H5" s="334"/>
      <c r="I5" s="334"/>
      <c r="J5" s="334"/>
    </row>
    <row r="6" spans="1:10" ht="18.75" x14ac:dyDescent="0.3">
      <c r="A6" s="334"/>
      <c r="B6" s="335"/>
      <c r="C6" s="334"/>
      <c r="D6" s="334"/>
      <c r="E6" s="334"/>
      <c r="F6" s="334"/>
      <c r="G6" s="334"/>
      <c r="H6" s="334"/>
      <c r="I6" s="334"/>
      <c r="J6" s="334"/>
    </row>
    <row r="7" spans="1:10" ht="18.75" x14ac:dyDescent="0.3">
      <c r="A7" s="334"/>
      <c r="B7" s="335"/>
      <c r="C7" s="334"/>
      <c r="D7" s="334"/>
      <c r="E7" s="334"/>
      <c r="F7" s="334"/>
      <c r="G7" s="334"/>
      <c r="H7" s="334"/>
      <c r="I7" s="334"/>
      <c r="J7" s="334"/>
    </row>
    <row r="8" spans="1:10" ht="18.75" x14ac:dyDescent="0.3">
      <c r="A8" s="334"/>
      <c r="B8" s="334"/>
      <c r="C8" s="334"/>
      <c r="D8" s="334"/>
      <c r="E8" s="334"/>
      <c r="F8" s="334"/>
      <c r="G8" s="334"/>
      <c r="H8" s="334"/>
      <c r="I8" s="334"/>
      <c r="J8" s="334"/>
    </row>
    <row r="9" spans="1:10" ht="18.75" x14ac:dyDescent="0.3">
      <c r="A9" s="334"/>
      <c r="B9" s="334"/>
      <c r="C9" s="334"/>
      <c r="D9" s="337" t="s">
        <v>178</v>
      </c>
      <c r="E9" s="338"/>
      <c r="F9" s="338"/>
      <c r="G9" s="334"/>
      <c r="H9" s="340" t="s">
        <v>179</v>
      </c>
      <c r="I9" s="341"/>
      <c r="J9" s="341"/>
    </row>
    <row r="10" spans="1:10" ht="18.75" x14ac:dyDescent="0.3">
      <c r="A10" s="334"/>
      <c r="B10" s="334"/>
      <c r="C10" s="334"/>
      <c r="D10" s="338" t="s">
        <v>181</v>
      </c>
      <c r="E10" s="338"/>
      <c r="F10" s="338"/>
      <c r="G10" s="334"/>
      <c r="H10" s="341" t="s">
        <v>192</v>
      </c>
      <c r="I10" s="342" t="s">
        <v>180</v>
      </c>
      <c r="J10" s="341"/>
    </row>
    <row r="11" spans="1:10" ht="18.75" x14ac:dyDescent="0.3">
      <c r="A11" s="334"/>
      <c r="B11" s="334"/>
      <c r="C11" s="334"/>
      <c r="D11" s="338"/>
      <c r="E11" s="338"/>
      <c r="F11" s="338"/>
      <c r="G11" s="334"/>
      <c r="H11" s="341"/>
      <c r="I11" s="341"/>
      <c r="J11" s="341"/>
    </row>
    <row r="12" spans="1:10" ht="18.75" x14ac:dyDescent="0.3">
      <c r="A12" s="334"/>
      <c r="B12" s="334"/>
      <c r="C12" s="334"/>
      <c r="D12" s="339" t="str">
        <f>HYPERLINK("#'Enable editing'!A1", "Click here")</f>
        <v>Click here</v>
      </c>
      <c r="E12" s="338"/>
      <c r="F12" s="338"/>
      <c r="G12" s="334"/>
      <c r="H12" s="341" t="s">
        <v>193</v>
      </c>
      <c r="I12" s="341"/>
      <c r="J12" s="341"/>
    </row>
    <row r="13" spans="1:10" ht="18.75" x14ac:dyDescent="0.3">
      <c r="A13" s="334"/>
      <c r="B13" s="334"/>
      <c r="C13" s="334"/>
      <c r="D13" s="338"/>
      <c r="E13" s="338"/>
      <c r="F13" s="338"/>
      <c r="G13" s="334"/>
      <c r="H13" s="341"/>
      <c r="I13" s="341"/>
      <c r="J13" s="341"/>
    </row>
    <row r="15" spans="1:10" x14ac:dyDescent="0.25">
      <c r="H15" s="325" t="s">
        <v>184</v>
      </c>
      <c r="I15" s="325" t="s">
        <v>146</v>
      </c>
    </row>
    <row r="16" spans="1:10" x14ac:dyDescent="0.25">
      <c r="I16" s="325" t="s">
        <v>183</v>
      </c>
    </row>
  </sheetData>
  <hyperlinks>
    <hyperlink ref="I10" r:id="rId1" display=" If not download from kontext21.com/excel" xr:uid="{7E44E48E-DC5D-497D-8931-A9140E0B409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FCDB8-B920-4EED-9090-0523CE8B33CD}">
  <dimension ref="A1:F13"/>
  <sheetViews>
    <sheetView showGridLines="0" zoomScaleNormal="100" workbookViewId="0"/>
  </sheetViews>
  <sheetFormatPr defaultColWidth="12.85546875" defaultRowHeight="15.75" x14ac:dyDescent="0.25"/>
  <cols>
    <col min="1" max="1" width="2.140625" style="325" customWidth="1"/>
    <col min="2" max="2" width="3.7109375" style="325" customWidth="1"/>
    <col min="3" max="3" width="1.5703125" style="325" customWidth="1"/>
    <col min="4" max="6" width="16" style="325" customWidth="1"/>
    <col min="7" max="16384" width="12.85546875" style="325"/>
  </cols>
  <sheetData>
    <row r="1" spans="1:6" s="327" customFormat="1" ht="18.75" x14ac:dyDescent="0.3">
      <c r="A1" s="331"/>
      <c r="B1" s="343" t="e" vm="1">
        <v>#VALUE!</v>
      </c>
      <c r="C1" s="331"/>
      <c r="D1" s="332" t="s">
        <v>194</v>
      </c>
      <c r="E1" s="331"/>
      <c r="F1" s="331"/>
    </row>
    <row r="2" spans="1:6" ht="18.75" x14ac:dyDescent="0.3">
      <c r="A2" s="333"/>
      <c r="B2" s="334"/>
      <c r="C2" s="334"/>
      <c r="D2" s="334"/>
      <c r="E2" s="334"/>
      <c r="F2" s="334"/>
    </row>
    <row r="3" spans="1:6" ht="18.75" x14ac:dyDescent="0.3">
      <c r="A3" s="333"/>
      <c r="B3" s="333"/>
      <c r="C3" s="334"/>
      <c r="D3" s="333" t="s">
        <v>195</v>
      </c>
      <c r="E3" s="334"/>
      <c r="F3" s="334"/>
    </row>
    <row r="4" spans="1:6" ht="18.75" x14ac:dyDescent="0.3">
      <c r="A4" s="333"/>
      <c r="B4" s="334"/>
      <c r="C4" s="334"/>
      <c r="D4" s="334" t="s">
        <v>196</v>
      </c>
      <c r="E4" s="334"/>
      <c r="F4" s="334"/>
    </row>
    <row r="5" spans="1:6" ht="18.75" x14ac:dyDescent="0.3">
      <c r="A5" s="334"/>
      <c r="B5" s="335"/>
      <c r="C5" s="334"/>
      <c r="D5" s="334"/>
      <c r="E5" s="334"/>
      <c r="F5" s="334"/>
    </row>
    <row r="6" spans="1:6" ht="18.75" x14ac:dyDescent="0.3">
      <c r="A6" s="334"/>
      <c r="B6" s="335"/>
      <c r="C6" s="334"/>
      <c r="D6" s="334"/>
      <c r="E6" s="334"/>
      <c r="F6" s="334"/>
    </row>
    <row r="7" spans="1:6" ht="18.75" x14ac:dyDescent="0.3">
      <c r="A7" s="334"/>
      <c r="B7" s="335"/>
      <c r="C7" s="334"/>
      <c r="D7" s="334"/>
      <c r="E7" s="334"/>
      <c r="F7" s="334"/>
    </row>
    <row r="8" spans="1:6" ht="18.75" x14ac:dyDescent="0.3">
      <c r="A8" s="334"/>
      <c r="B8" s="334"/>
      <c r="C8" s="334"/>
      <c r="D8" s="334"/>
      <c r="E8" s="334"/>
      <c r="F8" s="334"/>
    </row>
    <row r="9" spans="1:6" ht="18.75" x14ac:dyDescent="0.3">
      <c r="A9" s="334"/>
      <c r="B9" s="334"/>
      <c r="C9" s="334"/>
      <c r="E9" s="334"/>
      <c r="F9" s="334"/>
    </row>
    <row r="10" spans="1:6" ht="18.75" x14ac:dyDescent="0.3">
      <c r="A10" s="334"/>
      <c r="B10" s="334"/>
      <c r="C10" s="334"/>
      <c r="D10" s="334"/>
      <c r="E10" s="334"/>
      <c r="F10" s="334"/>
    </row>
    <row r="11" spans="1:6" ht="18.75" x14ac:dyDescent="0.3">
      <c r="A11" s="334"/>
      <c r="B11" s="334"/>
      <c r="C11" s="334"/>
      <c r="D11" s="334"/>
      <c r="E11" s="334"/>
      <c r="F11" s="334"/>
    </row>
    <row r="12" spans="1:6" ht="18.75" x14ac:dyDescent="0.3">
      <c r="A12" s="334"/>
      <c r="B12" s="334"/>
      <c r="C12" s="334"/>
      <c r="D12" s="357" t="str">
        <f>HYPERLINK("#'VLOOKUP Simple'!F11", "Click here to continue")</f>
        <v>Click here to continue</v>
      </c>
      <c r="E12" s="334"/>
      <c r="F12" s="334"/>
    </row>
    <row r="13" spans="1:6" ht="18.75" x14ac:dyDescent="0.3">
      <c r="A13" s="334"/>
      <c r="B13" s="334"/>
      <c r="C13" s="334"/>
      <c r="D13" s="334"/>
      <c r="E13" s="334"/>
      <c r="F13" s="33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9B1D-B481-4666-821F-523873D6BA41}">
  <dimension ref="A1:M40"/>
  <sheetViews>
    <sheetView showGridLines="0" zoomScaleNormal="100" workbookViewId="0"/>
  </sheetViews>
  <sheetFormatPr defaultColWidth="12.85546875" defaultRowHeight="18.75" x14ac:dyDescent="0.3"/>
  <cols>
    <col min="1" max="1" width="2.140625" style="334" customWidth="1"/>
    <col min="2" max="2" width="3.7109375" style="334" customWidth="1"/>
    <col min="3" max="3" width="3.140625" style="334" customWidth="1"/>
    <col min="4" max="4" width="3.85546875" style="334" customWidth="1"/>
    <col min="5" max="5" width="16.85546875" style="334" customWidth="1"/>
    <col min="6" max="6" width="16.140625" style="334" customWidth="1"/>
    <col min="7" max="7" width="5.28515625" style="334" customWidth="1"/>
    <col min="8" max="8" width="17.7109375" style="334" customWidth="1"/>
    <col min="9" max="9" width="19.85546875" style="334" customWidth="1"/>
    <col min="10" max="10" width="12.85546875" style="334"/>
    <col min="11" max="11" width="6.140625" style="334" customWidth="1"/>
    <col min="12" max="12" width="14.5703125" style="334" bestFit="1" customWidth="1"/>
    <col min="13" max="13" width="13" style="334" bestFit="1" customWidth="1"/>
    <col min="14" max="16384" width="12.85546875" style="334"/>
  </cols>
  <sheetData>
    <row r="1" spans="1:13" s="331" customFormat="1" x14ac:dyDescent="0.3">
      <c r="B1" s="343" t="e" vm="1">
        <v>#VALUE!</v>
      </c>
      <c r="D1" s="332" t="s">
        <v>177</v>
      </c>
    </row>
    <row r="2" spans="1:13" x14ac:dyDescent="0.3">
      <c r="A2" s="333"/>
    </row>
    <row r="3" spans="1:13" x14ac:dyDescent="0.3">
      <c r="E3" s="334" t="s">
        <v>185</v>
      </c>
      <c r="K3" s="333"/>
    </row>
    <row r="4" spans="1:13" x14ac:dyDescent="0.3">
      <c r="K4" s="333"/>
    </row>
    <row r="5" spans="1:13" x14ac:dyDescent="0.3">
      <c r="E5" s="334" t="s">
        <v>186</v>
      </c>
    </row>
    <row r="7" spans="1:13" x14ac:dyDescent="0.3">
      <c r="B7" s="333"/>
      <c r="E7" s="331" t="s">
        <v>142</v>
      </c>
      <c r="F7" s="331"/>
      <c r="L7" s="331" t="s">
        <v>153</v>
      </c>
      <c r="M7" s="331"/>
    </row>
    <row r="9" spans="1:13" x14ac:dyDescent="0.3">
      <c r="E9" s="344" t="s">
        <v>143</v>
      </c>
      <c r="F9" s="346">
        <v>45815</v>
      </c>
      <c r="L9" s="344" t="s">
        <v>144</v>
      </c>
      <c r="M9" s="345" t="s">
        <v>68</v>
      </c>
    </row>
    <row r="10" spans="1:13" ht="19.5" thickBot="1" x14ac:dyDescent="0.35">
      <c r="L10" s="347">
        <f ca="1">TODAY()</f>
        <v>45814</v>
      </c>
      <c r="M10" s="348">
        <v>435</v>
      </c>
    </row>
    <row r="11" spans="1:13" ht="19.5" thickBot="1" x14ac:dyDescent="0.35">
      <c r="E11" s="345" t="s">
        <v>68</v>
      </c>
      <c r="F11" s="355"/>
      <c r="G11" s="349"/>
      <c r="L11" s="347">
        <f t="shared" ref="L11:L19" ca="1" si="0">L10+1</f>
        <v>45815</v>
      </c>
      <c r="M11" s="348">
        <v>5</v>
      </c>
    </row>
    <row r="12" spans="1:13" x14ac:dyDescent="0.3">
      <c r="G12" s="349"/>
      <c r="L12" s="347">
        <f t="shared" ca="1" si="0"/>
        <v>45816</v>
      </c>
      <c r="M12" s="348">
        <v>46</v>
      </c>
    </row>
    <row r="13" spans="1:13" x14ac:dyDescent="0.3">
      <c r="E13" s="333" t="s">
        <v>188</v>
      </c>
      <c r="G13" s="349"/>
      <c r="L13" s="347">
        <f t="shared" ca="1" si="0"/>
        <v>45817</v>
      </c>
      <c r="M13" s="348">
        <v>56</v>
      </c>
    </row>
    <row r="14" spans="1:13" x14ac:dyDescent="0.3">
      <c r="E14" s="334" t="s">
        <v>176</v>
      </c>
      <c r="G14" s="349"/>
      <c r="L14" s="347">
        <f t="shared" ca="1" si="0"/>
        <v>45818</v>
      </c>
      <c r="M14" s="348">
        <v>7</v>
      </c>
    </row>
    <row r="15" spans="1:13" x14ac:dyDescent="0.3">
      <c r="E15" s="349"/>
      <c r="G15" s="349"/>
      <c r="L15" s="347">
        <f ca="1">L14+1</f>
        <v>45819</v>
      </c>
      <c r="M15" s="348">
        <v>6</v>
      </c>
    </row>
    <row r="16" spans="1:13" x14ac:dyDescent="0.3">
      <c r="E16" s="334" t="s">
        <v>152</v>
      </c>
      <c r="G16" s="349"/>
      <c r="L16" s="347">
        <f ca="1">L15+1</f>
        <v>45820</v>
      </c>
      <c r="M16" s="348">
        <v>78</v>
      </c>
    </row>
    <row r="17" spans="5:13" x14ac:dyDescent="0.3">
      <c r="L17" s="347">
        <f t="shared" ca="1" si="0"/>
        <v>45821</v>
      </c>
      <c r="M17" s="348">
        <v>68</v>
      </c>
    </row>
    <row r="18" spans="5:13" x14ac:dyDescent="0.3">
      <c r="E18" s="350" t="str">
        <f>IF(F11&lt;&gt;"","🪄Magic  - The lookup formula was predicted with AI","")</f>
        <v/>
      </c>
      <c r="L18" s="347">
        <f t="shared" ca="1" si="0"/>
        <v>45822</v>
      </c>
      <c r="M18" s="348">
        <v>54</v>
      </c>
    </row>
    <row r="19" spans="5:13" x14ac:dyDescent="0.3">
      <c r="F19" s="350"/>
      <c r="L19" s="353">
        <f t="shared" ca="1" si="0"/>
        <v>45823</v>
      </c>
      <c r="M19" s="354">
        <v>256</v>
      </c>
    </row>
    <row r="20" spans="5:13" x14ac:dyDescent="0.3">
      <c r="E20" s="356" t="str">
        <f>IF(F11&lt;&gt;"",HYPERLINK("#'Next'!A1", "Click here to continue"),"")</f>
        <v/>
      </c>
    </row>
    <row r="34" spans="2:3" x14ac:dyDescent="0.3">
      <c r="B34" s="335"/>
      <c r="C34" s="335"/>
    </row>
    <row r="35" spans="2:3" x14ac:dyDescent="0.3">
      <c r="B35" s="335"/>
      <c r="C35" s="335"/>
    </row>
    <row r="36" spans="2:3" x14ac:dyDescent="0.3">
      <c r="B36" s="335"/>
      <c r="C36" s="335"/>
    </row>
    <row r="37" spans="2:3" x14ac:dyDescent="0.3">
      <c r="B37" s="335"/>
    </row>
    <row r="38" spans="2:3" x14ac:dyDescent="0.3">
      <c r="B38" s="335"/>
    </row>
    <row r="39" spans="2:3" x14ac:dyDescent="0.3">
      <c r="B39" s="335"/>
    </row>
    <row r="40" spans="2:3" x14ac:dyDescent="0.3">
      <c r="B40" s="33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8A26-FE3B-43C7-BC45-1C89B67D731A}">
  <dimension ref="A1:H26"/>
  <sheetViews>
    <sheetView showGridLines="0" zoomScaleNormal="100" workbookViewId="0"/>
  </sheetViews>
  <sheetFormatPr defaultColWidth="12.85546875" defaultRowHeight="18.75" x14ac:dyDescent="0.3"/>
  <cols>
    <col min="1" max="1" width="2.140625" style="334" customWidth="1"/>
    <col min="2" max="2" width="3.7109375" style="334" customWidth="1"/>
    <col min="3" max="3" width="3.140625" style="334" customWidth="1"/>
    <col min="4" max="4" width="3.85546875" style="334" customWidth="1"/>
    <col min="5" max="5" width="16.85546875" style="334" customWidth="1"/>
    <col min="6" max="6" width="16.140625" style="334" customWidth="1"/>
    <col min="7" max="7" width="5.28515625" style="334" customWidth="1"/>
    <col min="8" max="8" width="17.7109375" style="334" customWidth="1"/>
    <col min="9" max="10" width="12.85546875" style="334"/>
    <col min="11" max="11" width="6.140625" style="334" customWidth="1"/>
    <col min="12" max="12" width="14.5703125" style="334" bestFit="1" customWidth="1"/>
    <col min="13" max="13" width="13" style="334" bestFit="1" customWidth="1"/>
    <col min="14" max="16384" width="12.85546875" style="334"/>
  </cols>
  <sheetData>
    <row r="1" spans="1:8" s="331" customFormat="1" x14ac:dyDescent="0.3">
      <c r="B1" s="343" t="e" vm="1">
        <v>#VALUE!</v>
      </c>
      <c r="D1" s="332" t="s">
        <v>191</v>
      </c>
    </row>
    <row r="2" spans="1:8" x14ac:dyDescent="0.3">
      <c r="A2" s="333"/>
    </row>
    <row r="3" spans="1:8" x14ac:dyDescent="0.3">
      <c r="B3" s="333" t="s">
        <v>145</v>
      </c>
      <c r="E3" s="349"/>
      <c r="F3" s="351"/>
      <c r="G3" s="351"/>
      <c r="H3" s="349"/>
    </row>
    <row r="4" spans="1:8" x14ac:dyDescent="0.3">
      <c r="E4" s="349"/>
      <c r="F4" s="349"/>
      <c r="G4" s="349"/>
      <c r="H4" s="349"/>
    </row>
    <row r="5" spans="1:8" x14ac:dyDescent="0.3">
      <c r="C5" s="334" t="s">
        <v>189</v>
      </c>
      <c r="H5" s="349"/>
    </row>
    <row r="6" spans="1:8" x14ac:dyDescent="0.3">
      <c r="D6" s="334" t="s">
        <v>190</v>
      </c>
    </row>
    <row r="7" spans="1:8" x14ac:dyDescent="0.3">
      <c r="D7" s="334" t="s">
        <v>164</v>
      </c>
    </row>
    <row r="9" spans="1:8" x14ac:dyDescent="0.3">
      <c r="C9" s="334" t="s">
        <v>150</v>
      </c>
      <c r="F9" s="336" t="str">
        <f>HYPERLINK("#'Ideas'!A1", "Ideas")</f>
        <v>Ideas</v>
      </c>
      <c r="H9" s="349"/>
    </row>
    <row r="10" spans="1:8" x14ac:dyDescent="0.3">
      <c r="C10" s="334" t="s">
        <v>148</v>
      </c>
      <c r="F10" s="352" t="s">
        <v>147</v>
      </c>
      <c r="G10" s="336" t="s">
        <v>146</v>
      </c>
      <c r="H10" s="349"/>
    </row>
    <row r="11" spans="1:8" x14ac:dyDescent="0.3">
      <c r="C11" s="334" t="s">
        <v>154</v>
      </c>
      <c r="H11" s="349"/>
    </row>
    <row r="12" spans="1:8" x14ac:dyDescent="0.3">
      <c r="B12" s="333"/>
      <c r="C12" s="335"/>
    </row>
    <row r="13" spans="1:8" x14ac:dyDescent="0.3">
      <c r="B13" s="333" t="s">
        <v>165</v>
      </c>
    </row>
    <row r="15" spans="1:8" x14ac:dyDescent="0.3">
      <c r="C15" s="334" t="s">
        <v>166</v>
      </c>
      <c r="F15" s="334" t="s">
        <v>167</v>
      </c>
    </row>
    <row r="16" spans="1:8" x14ac:dyDescent="0.3">
      <c r="C16" s="334" t="s">
        <v>175</v>
      </c>
      <c r="F16" s="334" t="s">
        <v>168</v>
      </c>
    </row>
    <row r="17" spans="2:6" x14ac:dyDescent="0.3">
      <c r="C17" s="334" t="s">
        <v>174</v>
      </c>
      <c r="F17" s="334" t="s">
        <v>169</v>
      </c>
    </row>
    <row r="18" spans="2:6" x14ac:dyDescent="0.3">
      <c r="C18" s="334" t="s">
        <v>173</v>
      </c>
      <c r="F18" s="334" t="s">
        <v>170</v>
      </c>
    </row>
    <row r="19" spans="2:6" x14ac:dyDescent="0.3">
      <c r="C19" s="334" t="s">
        <v>172</v>
      </c>
      <c r="F19" s="334" t="s">
        <v>171</v>
      </c>
    </row>
    <row r="20" spans="2:6" x14ac:dyDescent="0.3">
      <c r="B20" s="335"/>
      <c r="C20" s="335"/>
    </row>
    <row r="21" spans="2:6" x14ac:dyDescent="0.3">
      <c r="B21" s="335"/>
      <c r="C21" s="349"/>
    </row>
    <row r="22" spans="2:6" x14ac:dyDescent="0.3">
      <c r="B22" s="335"/>
      <c r="C22" s="335"/>
    </row>
    <row r="23" spans="2:6" x14ac:dyDescent="0.3">
      <c r="B23" s="335"/>
    </row>
    <row r="24" spans="2:6" x14ac:dyDescent="0.3">
      <c r="B24" s="335"/>
    </row>
    <row r="25" spans="2:6" x14ac:dyDescent="0.3">
      <c r="B25" s="335"/>
    </row>
    <row r="26" spans="2:6" x14ac:dyDescent="0.3">
      <c r="B26" s="335"/>
    </row>
  </sheetData>
  <hyperlinks>
    <hyperlink ref="G10" r:id="rId1" xr:uid="{92C7AF07-59E4-45D0-8739-F5F9723EC2A1}"/>
    <hyperlink ref="F10" r:id="rId2" xr:uid="{AD005D44-90E5-47EE-9C8E-3BA19C557089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7F198-0265-4AC8-97ED-5F223AC1E507}">
  <dimension ref="A1:F17"/>
  <sheetViews>
    <sheetView showGridLines="0" workbookViewId="0">
      <selection activeCell="B41" sqref="B41"/>
    </sheetView>
  </sheetViews>
  <sheetFormatPr defaultRowHeight="13.5" x14ac:dyDescent="0.25"/>
  <cols>
    <col min="1" max="1" width="14.140625" bestFit="1" customWidth="1"/>
    <col min="2" max="2" width="32.7109375" bestFit="1" customWidth="1"/>
  </cols>
  <sheetData>
    <row r="1" spans="1:6" x14ac:dyDescent="0.25">
      <c r="A1" s="326" t="str">
        <f>"Overview"</f>
        <v>Overview</v>
      </c>
    </row>
    <row r="4" spans="1:6" x14ac:dyDescent="0.25">
      <c r="A4" s="323" t="str">
        <f>HYPERLINK("#'VLOOKUP Simple'!A1", "VLOOKUP Simple")</f>
        <v>VLOOKUP Simple</v>
      </c>
      <c r="B4" t="str">
        <f>"Simple VLOOKUP demonstration sheet"</f>
        <v>Simple VLOOKUP demonstration sheet</v>
      </c>
    </row>
    <row r="5" spans="1:6" x14ac:dyDescent="0.25">
      <c r="A5" s="323" t="str">
        <f>HYPERLINK("#'Extract Info'!A1", "Extract Info")</f>
        <v>Extract Info</v>
      </c>
      <c r="B5" t="s">
        <v>70</v>
      </c>
      <c r="C5" t="str">
        <f>""</f>
        <v/>
      </c>
      <c r="D5" t="str">
        <f>""</f>
        <v/>
      </c>
      <c r="E5" t="str">
        <f>""</f>
        <v/>
      </c>
      <c r="F5" t="str">
        <f>""</f>
        <v/>
      </c>
    </row>
    <row r="6" spans="1:6" hidden="1" x14ac:dyDescent="0.25">
      <c r="A6" s="323" t="str">
        <f>HYPERLINK("#'VLOOKUP Prof'!A1", "VLOOKUP Prof")</f>
        <v>VLOOKUP Prof</v>
      </c>
      <c r="B6" t="str">
        <f>"Advanced VLOOKUP demonstration sheet"</f>
        <v>Advanced VLOOKUP demonstration sheet</v>
      </c>
      <c r="D6" t="s">
        <v>141</v>
      </c>
    </row>
    <row r="8" spans="1:6" x14ac:dyDescent="0.25">
      <c r="B8" s="326" t="s">
        <v>149</v>
      </c>
    </row>
    <row r="9" spans="1:6" x14ac:dyDescent="0.25">
      <c r="B9" s="324" t="s">
        <v>77</v>
      </c>
    </row>
    <row r="10" spans="1:6" x14ac:dyDescent="0.25">
      <c r="B10" t="s">
        <v>72</v>
      </c>
    </row>
    <row r="11" spans="1:6" x14ac:dyDescent="0.25">
      <c r="B11" t="s">
        <v>73</v>
      </c>
    </row>
    <row r="12" spans="1:6" x14ac:dyDescent="0.25">
      <c r="B12" t="s">
        <v>74</v>
      </c>
    </row>
    <row r="13" spans="1:6" x14ac:dyDescent="0.25">
      <c r="B13" t="s">
        <v>75</v>
      </c>
    </row>
    <row r="14" spans="1:6" x14ac:dyDescent="0.25">
      <c r="B14" t="s">
        <v>76</v>
      </c>
    </row>
    <row r="15" spans="1:6" x14ac:dyDescent="0.25">
      <c r="B15" t="s">
        <v>151</v>
      </c>
    </row>
    <row r="16" spans="1:6" x14ac:dyDescent="0.25">
      <c r="B16" s="324" t="s">
        <v>79</v>
      </c>
    </row>
    <row r="17" spans="2:2" x14ac:dyDescent="0.25">
      <c r="B17" t="s">
        <v>71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5CC6-F3A9-46B7-A8E7-46DF480F6F62}">
  <dimension ref="A2:I16"/>
  <sheetViews>
    <sheetView workbookViewId="0">
      <selection activeCell="A27" sqref="A27"/>
    </sheetView>
  </sheetViews>
  <sheetFormatPr defaultRowHeight="15.75" x14ac:dyDescent="0.25"/>
  <cols>
    <col min="1" max="1" width="54.28515625" style="328" bestFit="1" customWidth="1"/>
    <col min="2" max="16384" width="9.140625" style="328"/>
  </cols>
  <sheetData>
    <row r="2" spans="1:9" x14ac:dyDescent="0.25">
      <c r="A2" s="328" t="s">
        <v>162</v>
      </c>
    </row>
    <row r="3" spans="1:9" x14ac:dyDescent="0.25">
      <c r="A3" s="329" t="s">
        <v>155</v>
      </c>
      <c r="I3" s="328" t="s">
        <v>163</v>
      </c>
    </row>
    <row r="4" spans="1:9" ht="17.25" x14ac:dyDescent="0.3">
      <c r="A4" s="329" t="s">
        <v>156</v>
      </c>
      <c r="I4" s="330" t="s">
        <v>78</v>
      </c>
    </row>
    <row r="5" spans="1:9" x14ac:dyDescent="0.25">
      <c r="A5" s="329" t="s">
        <v>157</v>
      </c>
    </row>
    <row r="6" spans="1:9" x14ac:dyDescent="0.25">
      <c r="A6" s="329" t="s">
        <v>158</v>
      </c>
    </row>
    <row r="7" spans="1:9" x14ac:dyDescent="0.25">
      <c r="A7" s="329" t="s">
        <v>159</v>
      </c>
    </row>
    <row r="8" spans="1:9" x14ac:dyDescent="0.25">
      <c r="A8" s="329" t="s">
        <v>160</v>
      </c>
    </row>
    <row r="9" spans="1:9" x14ac:dyDescent="0.25">
      <c r="A9" s="329" t="s">
        <v>161</v>
      </c>
    </row>
    <row r="10" spans="1:9" x14ac:dyDescent="0.25">
      <c r="A10" s="329"/>
    </row>
    <row r="11" spans="1:9" x14ac:dyDescent="0.25">
      <c r="A11" s="329"/>
    </row>
    <row r="12" spans="1:9" x14ac:dyDescent="0.25">
      <c r="A12" s="329"/>
    </row>
    <row r="13" spans="1:9" x14ac:dyDescent="0.25">
      <c r="A13" s="329"/>
    </row>
    <row r="14" spans="1:9" x14ac:dyDescent="0.25">
      <c r="A14" s="329"/>
    </row>
    <row r="15" spans="1:9" x14ac:dyDescent="0.25">
      <c r="A15" s="329"/>
    </row>
    <row r="16" spans="1:9" x14ac:dyDescent="0.25">
      <c r="A16" s="32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AAE4-4C4D-4B13-9C3F-7A39C1BE2E01}">
  <dimension ref="A1"/>
  <sheetViews>
    <sheetView workbookViewId="0">
      <selection activeCell="B2" sqref="B2"/>
    </sheetView>
  </sheetViews>
  <sheetFormatPr defaultRowHeight="13.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7DEC1-8200-4248-A776-49D0B3713C9D}">
  <sheetPr>
    <pageSetUpPr fitToPage="1"/>
  </sheetPr>
  <dimension ref="A1:AB238"/>
  <sheetViews>
    <sheetView showGridLines="0" zoomScale="89" zoomScaleNormal="85" zoomScaleSheetLayoutView="55" workbookViewId="0">
      <pane xSplit="7" ySplit="8" topLeftCell="P9" activePane="bottomRight" state="frozen"/>
      <selection activeCell="B41" sqref="B41"/>
      <selection pane="topRight" activeCell="B41" sqref="B41"/>
      <selection pane="bottomLeft" activeCell="B41" sqref="B41"/>
      <selection pane="bottomRight" activeCell="B41" sqref="B41"/>
    </sheetView>
  </sheetViews>
  <sheetFormatPr defaultColWidth="8.42578125" defaultRowHeight="15" customHeight="1" outlineLevelRow="1" outlineLevelCol="1" x14ac:dyDescent="0.25"/>
  <cols>
    <col min="1" max="1" width="4.5703125" style="1" customWidth="1"/>
    <col min="2" max="2" width="1.5703125" style="1" customWidth="1"/>
    <col min="3" max="3" width="26.5703125" style="1" customWidth="1"/>
    <col min="4" max="4" width="2" style="1" customWidth="1"/>
    <col min="5" max="5" width="13.5703125" style="1" customWidth="1"/>
    <col min="6" max="6" width="1.5703125" style="1" customWidth="1"/>
    <col min="7" max="7" width="15.140625" style="1" bestFit="1" customWidth="1"/>
    <col min="8" max="8" width="1.5703125" style="1" customWidth="1"/>
    <col min="9" max="9" width="13.5703125" style="1" customWidth="1"/>
    <col min="10" max="10" width="1.5703125" style="1" customWidth="1"/>
    <col min="11" max="12" width="13.5703125" style="1" customWidth="1" outlineLevel="1"/>
    <col min="13" max="19" width="13.5703125" style="1" customWidth="1"/>
    <col min="20" max="20" width="1.7109375" style="1" customWidth="1"/>
    <col min="21" max="21" width="13.5703125" style="1" customWidth="1"/>
    <col min="22" max="22" width="1.5703125" style="1" customWidth="1"/>
    <col min="23" max="23" width="2" style="14" customWidth="1" outlineLevel="1"/>
    <col min="24" max="24" width="12.7109375" style="3" customWidth="1" outlineLevel="1"/>
    <col min="25" max="25" width="6.5703125" style="14" customWidth="1"/>
    <col min="26" max="16384" width="8.42578125" style="14"/>
  </cols>
  <sheetData>
    <row r="1" spans="1:28" s="1" customFormat="1" ht="15" customHeight="1" x14ac:dyDescent="0.25">
      <c r="V1" s="2"/>
      <c r="X1" s="3"/>
    </row>
    <row r="2" spans="1:28" s="2" customFormat="1" ht="15" customHeight="1" x14ac:dyDescent="0.25">
      <c r="B2" s="4" t="s">
        <v>80</v>
      </c>
      <c r="Q2" s="5"/>
      <c r="R2" s="5"/>
      <c r="T2" s="6"/>
      <c r="V2" s="6" t="s">
        <v>81</v>
      </c>
      <c r="X2" s="7"/>
    </row>
    <row r="3" spans="1:28" s="2" customFormat="1" ht="1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9"/>
      <c r="S3" s="8"/>
      <c r="T3" s="10"/>
      <c r="U3" s="8"/>
      <c r="V3" s="10" t="s">
        <v>82</v>
      </c>
      <c r="X3" s="11">
        <f>SUM(X4:X168)</f>
        <v>0</v>
      </c>
    </row>
    <row r="4" spans="1:28" s="2" customFormat="1" ht="15" customHeight="1" x14ac:dyDescent="0.25">
      <c r="Q4" s="5"/>
      <c r="R4" s="5"/>
      <c r="S4" s="5"/>
      <c r="T4" s="5"/>
      <c r="V4" s="5"/>
      <c r="X4" s="12"/>
    </row>
    <row r="5" spans="1:28" s="2" customFormat="1" ht="21" x14ac:dyDescent="0.25">
      <c r="C5" s="13" t="s">
        <v>0</v>
      </c>
      <c r="D5" s="13"/>
      <c r="E5" s="13"/>
      <c r="Q5" s="5"/>
      <c r="R5" s="5"/>
      <c r="S5" s="5"/>
      <c r="T5" s="5"/>
      <c r="U5" s="5"/>
      <c r="V5" s="5"/>
      <c r="X5" s="3"/>
    </row>
    <row r="6" spans="1:28" ht="15" customHeight="1" x14ac:dyDescent="0.25">
      <c r="A6" s="14"/>
      <c r="B6" s="14"/>
      <c r="C6" s="15" t="s">
        <v>85</v>
      </c>
      <c r="D6" s="15"/>
      <c r="E6" s="15"/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</row>
    <row r="7" spans="1:28" s="28" customFormat="1" ht="15" customHeight="1" x14ac:dyDescent="0.25">
      <c r="A7" s="19">
        <f>MAX(A$1:A6)+1</f>
        <v>1</v>
      </c>
      <c r="B7" s="20"/>
      <c r="C7" s="21" t="s">
        <v>1</v>
      </c>
      <c r="D7" s="21"/>
      <c r="E7" s="21"/>
      <c r="F7" s="21"/>
      <c r="G7" s="21" t="s">
        <v>2</v>
      </c>
      <c r="H7" s="21"/>
      <c r="I7" s="21"/>
      <c r="J7" s="21"/>
      <c r="K7" s="22">
        <v>2023</v>
      </c>
      <c r="L7" s="22">
        <v>2024</v>
      </c>
      <c r="M7" s="23">
        <v>2025</v>
      </c>
      <c r="N7" s="24">
        <v>2025</v>
      </c>
      <c r="O7" s="24">
        <v>2026</v>
      </c>
      <c r="P7" s="24">
        <v>2027</v>
      </c>
      <c r="Q7" s="24">
        <v>2028</v>
      </c>
      <c r="R7" s="24">
        <v>2029</v>
      </c>
      <c r="S7" s="24">
        <v>2030</v>
      </c>
      <c r="T7" s="25"/>
      <c r="U7" s="26">
        <f>MAX(K8:T8)</f>
        <v>5</v>
      </c>
      <c r="V7" s="27"/>
      <c r="X7" s="29"/>
      <c r="Y7" s="28" t="s">
        <v>3</v>
      </c>
    </row>
    <row r="8" spans="1:28" s="2" customFormat="1" ht="15" customHeight="1" x14ac:dyDescent="0.25">
      <c r="A8" s="14"/>
      <c r="B8" s="30"/>
      <c r="C8" s="31" t="s">
        <v>86</v>
      </c>
      <c r="D8" s="31"/>
      <c r="E8" s="31"/>
      <c r="F8" s="32"/>
      <c r="G8" s="32"/>
      <c r="H8" s="32"/>
      <c r="I8" s="33"/>
      <c r="J8" s="32"/>
      <c r="K8" s="33">
        <f>L8-1</f>
        <v>-2</v>
      </c>
      <c r="L8" s="33">
        <f>M8-1</f>
        <v>-1</v>
      </c>
      <c r="M8" s="34">
        <v>0</v>
      </c>
      <c r="N8" s="33">
        <f>L8+1</f>
        <v>0</v>
      </c>
      <c r="O8" s="33">
        <f>M8+1</f>
        <v>1</v>
      </c>
      <c r="P8" s="33">
        <f t="shared" ref="P8:S8" si="0">O8+1</f>
        <v>2</v>
      </c>
      <c r="Q8" s="33">
        <f t="shared" si="0"/>
        <v>3</v>
      </c>
      <c r="R8" s="33">
        <f t="shared" si="0"/>
        <v>4</v>
      </c>
      <c r="S8" s="33">
        <f t="shared" si="0"/>
        <v>5</v>
      </c>
      <c r="T8" s="33"/>
      <c r="U8" s="35">
        <f>S8</f>
        <v>5</v>
      </c>
      <c r="V8" s="34"/>
      <c r="X8" s="3"/>
    </row>
    <row r="9" spans="1:28" ht="15" customHeight="1" x14ac:dyDescent="0.25">
      <c r="A9" s="14"/>
      <c r="B9" s="36"/>
      <c r="C9" s="37"/>
      <c r="D9" s="37"/>
      <c r="E9" s="37"/>
      <c r="F9" s="17"/>
      <c r="G9" s="17"/>
      <c r="H9" s="17"/>
      <c r="I9" s="17"/>
      <c r="J9" s="17"/>
      <c r="K9" s="38"/>
      <c r="L9" s="38"/>
      <c r="M9" s="39"/>
      <c r="N9" s="38"/>
      <c r="O9" s="38"/>
      <c r="P9" s="38"/>
      <c r="Q9" s="38"/>
      <c r="R9" s="38"/>
      <c r="S9" s="38"/>
      <c r="T9" s="38"/>
      <c r="U9" s="40"/>
      <c r="V9" s="39"/>
    </row>
    <row r="10" spans="1:28" s="1" customFormat="1" ht="15" customHeight="1" x14ac:dyDescent="0.25">
      <c r="B10" s="41"/>
      <c r="C10" s="42" t="s">
        <v>68</v>
      </c>
      <c r="D10" s="42"/>
      <c r="E10" s="42"/>
      <c r="F10" s="42"/>
      <c r="G10" s="43" t="s">
        <v>94</v>
      </c>
      <c r="H10" s="44"/>
      <c r="I10" s="44"/>
      <c r="J10" s="44"/>
      <c r="K10" s="45">
        <v>4500000</v>
      </c>
      <c r="L10" s="45">
        <v>4750000</v>
      </c>
      <c r="M10" s="46">
        <v>5000000</v>
      </c>
      <c r="N10" s="45">
        <v>5263000</v>
      </c>
      <c r="O10" s="45">
        <v>5657725</v>
      </c>
      <c r="P10" s="45">
        <v>6082054.375</v>
      </c>
      <c r="Q10" s="45">
        <v>6386157.09375</v>
      </c>
      <c r="R10" s="45">
        <v>6705464.9484375007</v>
      </c>
      <c r="S10" s="45">
        <v>7040738.1958593763</v>
      </c>
      <c r="T10" s="45"/>
      <c r="U10" s="47">
        <f>SUM(N10:T10)</f>
        <v>37135139.613046877</v>
      </c>
      <c r="V10" s="48"/>
      <c r="X10" s="3"/>
    </row>
    <row r="11" spans="1:28" s="49" customFormat="1" ht="15" customHeight="1" x14ac:dyDescent="0.25">
      <c r="B11" s="50"/>
      <c r="C11" s="51" t="s">
        <v>87</v>
      </c>
      <c r="D11" s="51"/>
      <c r="E11" s="51"/>
      <c r="F11" s="52"/>
      <c r="G11" s="52" t="s">
        <v>4</v>
      </c>
      <c r="H11" s="52"/>
      <c r="I11" s="52"/>
      <c r="J11" s="52"/>
      <c r="K11" s="53" t="str">
        <f>IFERROR(K10/I10-1,"NA")</f>
        <v>NA</v>
      </c>
      <c r="L11" s="53">
        <f>IFERROR(L10/K10-1,"NA")</f>
        <v>5.555555555555558E-2</v>
      </c>
      <c r="M11" s="54">
        <f t="shared" ref="M11:S11" si="1">IFERROR(M$10/L$10-1,"NA")</f>
        <v>5.2631578947368363E-2</v>
      </c>
      <c r="N11" s="53">
        <f t="shared" si="1"/>
        <v>5.259999999999998E-2</v>
      </c>
      <c r="O11" s="53">
        <f t="shared" si="1"/>
        <v>7.4999999999999956E-2</v>
      </c>
      <c r="P11" s="53">
        <f t="shared" si="1"/>
        <v>7.4999999999999956E-2</v>
      </c>
      <c r="Q11" s="53">
        <f t="shared" si="1"/>
        <v>5.0000000000000044E-2</v>
      </c>
      <c r="R11" s="53">
        <f t="shared" si="1"/>
        <v>5.0000000000000044E-2</v>
      </c>
      <c r="S11" s="53">
        <f t="shared" si="1"/>
        <v>5.0000000000000044E-2</v>
      </c>
      <c r="T11" s="53"/>
      <c r="U11" s="55">
        <f>IFERROR((O10/P10)^(1/$U$7-$O$8)-1,"NA")</f>
        <v>5.9562968525572746E-2</v>
      </c>
      <c r="V11" s="56"/>
      <c r="X11" s="57"/>
      <c r="Y11" s="1"/>
      <c r="AA11" t="s">
        <v>66</v>
      </c>
      <c r="AB11"/>
    </row>
    <row r="12" spans="1:28" s="1" customFormat="1" ht="15" customHeight="1" x14ac:dyDescent="0.25">
      <c r="B12" s="41"/>
      <c r="C12" s="2"/>
      <c r="D12" s="2"/>
      <c r="E12" s="2"/>
      <c r="F12" s="2"/>
      <c r="G12" s="2"/>
      <c r="H12" s="2"/>
      <c r="I12" s="2"/>
      <c r="J12" s="2"/>
      <c r="K12" s="58"/>
      <c r="L12" s="58"/>
      <c r="M12" s="59"/>
      <c r="N12" s="53"/>
      <c r="O12" s="53"/>
      <c r="P12" s="53"/>
      <c r="Q12" s="53"/>
      <c r="R12" s="53"/>
      <c r="S12" s="53"/>
      <c r="T12" s="53"/>
      <c r="U12" s="60"/>
      <c r="V12" s="59"/>
      <c r="X12" s="3"/>
      <c r="AA12" t="s">
        <v>67</v>
      </c>
      <c r="AB12">
        <v>2024</v>
      </c>
    </row>
    <row r="13" spans="1:28" s="1" customFormat="1" ht="15" customHeight="1" x14ac:dyDescent="0.25">
      <c r="B13" s="41"/>
      <c r="C13" s="61" t="s">
        <v>88</v>
      </c>
      <c r="D13" s="62"/>
      <c r="E13" s="62"/>
      <c r="F13" s="63"/>
      <c r="G13" s="64" t="s">
        <v>94</v>
      </c>
      <c r="H13" s="8"/>
      <c r="I13" s="63"/>
      <c r="J13" s="8"/>
      <c r="K13" s="65">
        <v>-2000000</v>
      </c>
      <c r="L13" s="65">
        <v>-2300000</v>
      </c>
      <c r="M13" s="66">
        <v>-2500000</v>
      </c>
      <c r="N13" s="65">
        <v>-2631500</v>
      </c>
      <c r="O13" s="65">
        <v>-3168326.0000000005</v>
      </c>
      <c r="P13" s="65">
        <v>-3405950.45</v>
      </c>
      <c r="Q13" s="65">
        <v>-3512386.4015625003</v>
      </c>
      <c r="R13" s="65">
        <v>-3688005.7216406255</v>
      </c>
      <c r="S13" s="65">
        <v>-3872406.0077226572</v>
      </c>
      <c r="T13" s="65"/>
      <c r="U13" s="67">
        <f>SUM(N13:T13)</f>
        <v>-20278574.580925785</v>
      </c>
      <c r="V13" s="68"/>
      <c r="X13" s="3"/>
      <c r="AA13" t="s">
        <v>68</v>
      </c>
      <c r="AB13" s="322"/>
    </row>
    <row r="14" spans="1:28" s="1" customFormat="1" ht="15" customHeight="1" x14ac:dyDescent="0.25">
      <c r="B14" s="41"/>
      <c r="C14" s="44" t="s">
        <v>89</v>
      </c>
      <c r="D14" s="44"/>
      <c r="E14" s="44"/>
      <c r="F14" s="69"/>
      <c r="G14" s="43" t="s">
        <v>94</v>
      </c>
      <c r="H14" s="44"/>
      <c r="I14" s="69"/>
      <c r="J14" s="44"/>
      <c r="K14" s="70">
        <f t="shared" ref="K14:S14" si="2">K10+K13</f>
        <v>2500000</v>
      </c>
      <c r="L14" s="70">
        <f t="shared" si="2"/>
        <v>2450000</v>
      </c>
      <c r="M14" s="48">
        <f t="shared" si="2"/>
        <v>2500000</v>
      </c>
      <c r="N14" s="70">
        <f t="shared" si="2"/>
        <v>2631500</v>
      </c>
      <c r="O14" s="70">
        <f t="shared" si="2"/>
        <v>2489398.9999999995</v>
      </c>
      <c r="P14" s="70">
        <f t="shared" si="2"/>
        <v>2676103.9249999998</v>
      </c>
      <c r="Q14" s="70">
        <f t="shared" si="2"/>
        <v>2873770.6921874997</v>
      </c>
      <c r="R14" s="70">
        <f t="shared" si="2"/>
        <v>3017459.2267968752</v>
      </c>
      <c r="S14" s="70">
        <f t="shared" si="2"/>
        <v>3168332.1881367192</v>
      </c>
      <c r="T14" s="70"/>
      <c r="U14" s="71">
        <f t="shared" ref="U14" si="3">U10+U13</f>
        <v>16856565.032121092</v>
      </c>
      <c r="V14" s="72"/>
      <c r="X14" s="3">
        <f>SUM(K10:S10)+SUM(K13:S13)-SUM(K14:S14)</f>
        <v>0</v>
      </c>
      <c r="AA14" s="1" t="s">
        <v>69</v>
      </c>
    </row>
    <row r="15" spans="1:28" s="49" customFormat="1" ht="15" customHeight="1" x14ac:dyDescent="0.25">
      <c r="A15" s="1"/>
      <c r="B15" s="50"/>
      <c r="C15" s="51" t="s">
        <v>90</v>
      </c>
      <c r="D15" s="51"/>
      <c r="E15" s="51"/>
      <c r="F15" s="52"/>
      <c r="G15" s="52" t="s">
        <v>5</v>
      </c>
      <c r="H15" s="52"/>
      <c r="I15" s="52"/>
      <c r="J15" s="52"/>
      <c r="K15" s="73">
        <f>IF(ISERR(K14/K$10),"NA",K14/K$10)</f>
        <v>0.55555555555555558</v>
      </c>
      <c r="L15" s="73">
        <f>IF(ISERR(L14/L$10),"NA",L14/L$10)</f>
        <v>0.51578947368421058</v>
      </c>
      <c r="M15" s="74">
        <f t="shared" ref="M15:U15" si="4">IF(ISERR(M$14/M$10),"NA",M$14/M$10)</f>
        <v>0.5</v>
      </c>
      <c r="N15" s="73">
        <f t="shared" si="4"/>
        <v>0.5</v>
      </c>
      <c r="O15" s="73">
        <f t="shared" si="4"/>
        <v>0.43999999999999989</v>
      </c>
      <c r="P15" s="73">
        <f t="shared" si="4"/>
        <v>0.43999999999999995</v>
      </c>
      <c r="Q15" s="73">
        <f t="shared" si="4"/>
        <v>0.44999999999999996</v>
      </c>
      <c r="R15" s="73">
        <f t="shared" si="4"/>
        <v>0.45</v>
      </c>
      <c r="S15" s="73">
        <f t="shared" si="4"/>
        <v>0.44999999999999996</v>
      </c>
      <c r="T15" s="73"/>
      <c r="U15" s="60">
        <f t="shared" si="4"/>
        <v>0.4539249133776998</v>
      </c>
      <c r="V15" s="75"/>
      <c r="X15" s="3"/>
    </row>
    <row r="16" spans="1:28" s="1" customFormat="1" ht="15" customHeight="1" x14ac:dyDescent="0.25">
      <c r="B16" s="41"/>
      <c r="C16" s="2"/>
      <c r="D16" s="2"/>
      <c r="E16" s="2"/>
      <c r="F16" s="2"/>
      <c r="G16" s="2"/>
      <c r="H16" s="2"/>
      <c r="I16" s="2"/>
      <c r="J16" s="2"/>
      <c r="K16" s="58"/>
      <c r="L16" s="58"/>
      <c r="M16" s="59"/>
      <c r="N16" s="73"/>
      <c r="O16" s="73"/>
      <c r="P16" s="73"/>
      <c r="Q16" s="73"/>
      <c r="R16" s="73"/>
      <c r="S16" s="73"/>
      <c r="T16" s="73"/>
      <c r="U16" s="60"/>
      <c r="V16" s="59"/>
      <c r="X16" s="3"/>
    </row>
    <row r="17" spans="1:25" s="1" customFormat="1" ht="15" customHeight="1" x14ac:dyDescent="0.25">
      <c r="B17" s="41"/>
      <c r="C17" s="8" t="s">
        <v>91</v>
      </c>
      <c r="D17" s="8"/>
      <c r="E17" s="8"/>
      <c r="F17" s="8"/>
      <c r="G17" s="64" t="s">
        <v>94</v>
      </c>
      <c r="H17" s="8"/>
      <c r="I17" s="8"/>
      <c r="J17" s="8"/>
      <c r="K17" s="76">
        <v>-1190000</v>
      </c>
      <c r="L17" s="76">
        <v>-1010000</v>
      </c>
      <c r="M17" s="77">
        <v>-1580000</v>
      </c>
      <c r="N17" s="76">
        <v>-1350000</v>
      </c>
      <c r="O17" s="76">
        <v>-1388714.3181818181</v>
      </c>
      <c r="P17" s="76">
        <v>-1492867.8920454548</v>
      </c>
      <c r="Q17" s="76">
        <v>-1612297.3234090912</v>
      </c>
      <c r="R17" s="76">
        <v>-1757404.0825159098</v>
      </c>
      <c r="S17" s="76">
        <v>-1933144.4907675011</v>
      </c>
      <c r="T17" s="76"/>
      <c r="U17" s="67">
        <f>SUM(N17:T17)</f>
        <v>-9534428.1069197766</v>
      </c>
      <c r="V17" s="68"/>
      <c r="X17" s="3"/>
    </row>
    <row r="18" spans="1:25" s="1" customFormat="1" ht="15" customHeight="1" x14ac:dyDescent="0.25">
      <c r="B18" s="41"/>
      <c r="C18" s="44" t="s">
        <v>92</v>
      </c>
      <c r="D18" s="44"/>
      <c r="E18" s="44"/>
      <c r="F18" s="44"/>
      <c r="G18" s="43" t="s">
        <v>94</v>
      </c>
      <c r="H18" s="44"/>
      <c r="I18" s="44"/>
      <c r="J18" s="44"/>
      <c r="K18" s="78">
        <f t="shared" ref="K18:S18" si="5">K14+K17</f>
        <v>1310000</v>
      </c>
      <c r="L18" s="78">
        <f t="shared" si="5"/>
        <v>1440000</v>
      </c>
      <c r="M18" s="79">
        <f t="shared" si="5"/>
        <v>920000</v>
      </c>
      <c r="N18" s="78">
        <f t="shared" si="5"/>
        <v>1281500</v>
      </c>
      <c r="O18" s="78">
        <f t="shared" si="5"/>
        <v>1100684.6818181814</v>
      </c>
      <c r="P18" s="78">
        <f t="shared" si="5"/>
        <v>1183236.032954545</v>
      </c>
      <c r="Q18" s="78">
        <f t="shared" si="5"/>
        <v>1261473.3687784085</v>
      </c>
      <c r="R18" s="78">
        <f t="shared" si="5"/>
        <v>1260055.1442809654</v>
      </c>
      <c r="S18" s="78">
        <f t="shared" si="5"/>
        <v>1235187.6973692181</v>
      </c>
      <c r="T18" s="78"/>
      <c r="U18" s="71">
        <f t="shared" ref="U18" si="6">U14+U17</f>
        <v>7322136.9252013154</v>
      </c>
      <c r="V18" s="72"/>
      <c r="X18" s="3">
        <f>SUM(K14:S14)+SUM(K17:S17)-SUM(K18:S18)</f>
        <v>0</v>
      </c>
    </row>
    <row r="19" spans="1:25" s="49" customFormat="1" ht="15" customHeight="1" x14ac:dyDescent="0.25">
      <c r="B19" s="50"/>
      <c r="C19" s="51" t="s">
        <v>93</v>
      </c>
      <c r="D19" s="51"/>
      <c r="E19" s="51"/>
      <c r="F19" s="52"/>
      <c r="G19" s="52" t="s">
        <v>5</v>
      </c>
      <c r="H19" s="52"/>
      <c r="I19" s="52"/>
      <c r="J19" s="52"/>
      <c r="K19" s="73">
        <f t="shared" ref="K19:S19" si="7">IF(ISERR(K18/K$10),"NA",K18/K$10)</f>
        <v>0.2911111111111111</v>
      </c>
      <c r="L19" s="73">
        <f t="shared" si="7"/>
        <v>0.30315789473684213</v>
      </c>
      <c r="M19" s="74">
        <f t="shared" si="7"/>
        <v>0.184</v>
      </c>
      <c r="N19" s="73">
        <f t="shared" si="7"/>
        <v>0.24349230476914308</v>
      </c>
      <c r="O19" s="73">
        <f t="shared" si="7"/>
        <v>0.19454545454545447</v>
      </c>
      <c r="P19" s="73">
        <f t="shared" si="7"/>
        <v>0.19454545454545447</v>
      </c>
      <c r="Q19" s="73">
        <f t="shared" si="7"/>
        <v>0.19753246753246745</v>
      </c>
      <c r="R19" s="73">
        <f t="shared" si="7"/>
        <v>0.18791465677179953</v>
      </c>
      <c r="S19" s="73">
        <f t="shared" si="7"/>
        <v>0.17543440233236138</v>
      </c>
      <c r="T19" s="73"/>
      <c r="U19" s="60">
        <f t="shared" ref="U19" si="8">IF(ISERR(U18/U$10),"NA",U18/U$10)</f>
        <v>0.1971754247189848</v>
      </c>
      <c r="V19" s="75"/>
      <c r="X19" s="3"/>
    </row>
    <row r="20" spans="1:25" s="1" customFormat="1" ht="15" customHeight="1" x14ac:dyDescent="0.25">
      <c r="B20" s="41"/>
      <c r="C20" s="80"/>
      <c r="D20" s="80"/>
      <c r="E20" s="80"/>
      <c r="F20" s="2"/>
      <c r="G20" s="2"/>
      <c r="H20" s="2"/>
      <c r="I20" s="2"/>
      <c r="J20" s="2"/>
      <c r="K20" s="81"/>
      <c r="L20" s="81"/>
      <c r="M20" s="82"/>
      <c r="N20" s="81"/>
      <c r="O20" s="81"/>
      <c r="P20" s="81"/>
      <c r="Q20" s="81"/>
      <c r="R20" s="81"/>
      <c r="S20" s="81"/>
      <c r="T20" s="81"/>
      <c r="U20" s="83"/>
      <c r="V20" s="82"/>
      <c r="X20" s="3"/>
    </row>
    <row r="21" spans="1:25" s="1" customFormat="1" ht="15" customHeight="1" x14ac:dyDescent="0.25">
      <c r="B21" s="41"/>
      <c r="C21" s="84" t="s">
        <v>58</v>
      </c>
      <c r="D21" s="84"/>
      <c r="E21" s="84"/>
      <c r="F21" s="2"/>
      <c r="G21" s="85" t="s">
        <v>94</v>
      </c>
      <c r="H21" s="2"/>
      <c r="I21" s="2"/>
      <c r="J21" s="2"/>
      <c r="K21" s="76">
        <v>-100000</v>
      </c>
      <c r="L21" s="76">
        <v>-100000</v>
      </c>
      <c r="M21" s="77">
        <v>-100000</v>
      </c>
      <c r="N21" s="86">
        <f t="shared" ref="N21:S21" si="9">-N185</f>
        <v>0</v>
      </c>
      <c r="O21" s="86">
        <f t="shared" si="9"/>
        <v>-300000</v>
      </c>
      <c r="P21" s="86">
        <f t="shared" si="9"/>
        <v>-300000</v>
      </c>
      <c r="Q21" s="86">
        <f t="shared" si="9"/>
        <v>-300000</v>
      </c>
      <c r="R21" s="86">
        <f t="shared" si="9"/>
        <v>-300000</v>
      </c>
      <c r="S21" s="86">
        <f t="shared" si="9"/>
        <v>-350000</v>
      </c>
      <c r="T21" s="86"/>
      <c r="U21" s="67">
        <f>SUM(N21:T21)</f>
        <v>-1550000</v>
      </c>
      <c r="V21" s="68"/>
      <c r="X21" s="3">
        <f>U21+U185</f>
        <v>0</v>
      </c>
    </row>
    <row r="22" spans="1:25" s="1" customFormat="1" ht="15" customHeight="1" x14ac:dyDescent="0.25">
      <c r="B22" s="41"/>
      <c r="C22" s="87" t="s">
        <v>6</v>
      </c>
      <c r="D22" s="87"/>
      <c r="E22" s="87"/>
      <c r="F22" s="87"/>
      <c r="G22" s="88" t="s">
        <v>94</v>
      </c>
      <c r="H22" s="87"/>
      <c r="I22" s="87"/>
      <c r="J22" s="87"/>
      <c r="K22" s="78">
        <f t="shared" ref="K22:S22" si="10">K18+K21</f>
        <v>1210000</v>
      </c>
      <c r="L22" s="78">
        <f t="shared" si="10"/>
        <v>1340000</v>
      </c>
      <c r="M22" s="79">
        <f t="shared" si="10"/>
        <v>820000</v>
      </c>
      <c r="N22" s="78">
        <f t="shared" si="10"/>
        <v>1281500</v>
      </c>
      <c r="O22" s="78">
        <f t="shared" si="10"/>
        <v>800684.68181818142</v>
      </c>
      <c r="P22" s="78">
        <f t="shared" si="10"/>
        <v>883236.03295454499</v>
      </c>
      <c r="Q22" s="78">
        <f t="shared" si="10"/>
        <v>961473.36877840851</v>
      </c>
      <c r="R22" s="78">
        <f t="shared" si="10"/>
        <v>960055.14428096544</v>
      </c>
      <c r="S22" s="78">
        <f t="shared" si="10"/>
        <v>885187.69736921811</v>
      </c>
      <c r="T22" s="78"/>
      <c r="U22" s="71">
        <f t="shared" ref="U22" si="11">U18+U21</f>
        <v>5772136.9252013154</v>
      </c>
      <c r="V22" s="72"/>
      <c r="X22" s="3">
        <f>SUM(K18:S18)+SUM(K21:S21)-SUM(K22:S22)</f>
        <v>0</v>
      </c>
    </row>
    <row r="23" spans="1:25" s="49" customFormat="1" ht="15" customHeight="1" x14ac:dyDescent="0.25">
      <c r="B23" s="50"/>
      <c r="C23" s="51" t="str">
        <f>C22&amp;" Margin %"</f>
        <v>EBIT Margin %</v>
      </c>
      <c r="D23" s="51"/>
      <c r="E23" s="51"/>
      <c r="F23" s="52"/>
      <c r="G23" s="52" t="s">
        <v>5</v>
      </c>
      <c r="H23" s="52"/>
      <c r="I23" s="52"/>
      <c r="J23" s="52"/>
      <c r="K23" s="73">
        <f t="shared" ref="K23:S23" si="12">IF(ISERR(K22/K$10),"NA",K22/K$10)</f>
        <v>0.2688888888888889</v>
      </c>
      <c r="L23" s="73">
        <f t="shared" si="12"/>
        <v>0.28210526315789475</v>
      </c>
      <c r="M23" s="74">
        <f t="shared" si="12"/>
        <v>0.16400000000000001</v>
      </c>
      <c r="N23" s="73">
        <f t="shared" si="12"/>
        <v>0.24349230476914308</v>
      </c>
      <c r="O23" s="73">
        <f t="shared" si="12"/>
        <v>0.14152060798610422</v>
      </c>
      <c r="P23" s="73">
        <f t="shared" si="12"/>
        <v>0.14522001588559375</v>
      </c>
      <c r="Q23" s="73">
        <f t="shared" si="12"/>
        <v>0.15055585928498105</v>
      </c>
      <c r="R23" s="73">
        <f t="shared" si="12"/>
        <v>0.14317502986943154</v>
      </c>
      <c r="S23" s="73">
        <f t="shared" si="12"/>
        <v>0.12572370577417474</v>
      </c>
      <c r="T23" s="73"/>
      <c r="U23" s="60">
        <f t="shared" ref="U23" si="13">IF(ISERR(U22/U$10),"NA",U22/U$10)</f>
        <v>0.15543598288165211</v>
      </c>
      <c r="V23" s="75"/>
      <c r="X23" s="3"/>
    </row>
    <row r="24" spans="1:25" s="1" customFormat="1" ht="15" customHeight="1" x14ac:dyDescent="0.25">
      <c r="B24" s="41"/>
      <c r="C24" s="80"/>
      <c r="D24" s="80"/>
      <c r="E24" s="80"/>
      <c r="F24" s="2"/>
      <c r="G24" s="2"/>
      <c r="H24" s="2"/>
      <c r="I24" s="2"/>
      <c r="J24" s="2"/>
      <c r="K24" s="81"/>
      <c r="L24" s="81"/>
      <c r="M24" s="82"/>
      <c r="N24" s="81"/>
      <c r="O24" s="81"/>
      <c r="P24" s="81"/>
      <c r="Q24" s="81"/>
      <c r="R24" s="81"/>
      <c r="S24" s="81"/>
      <c r="T24" s="81"/>
      <c r="U24" s="83"/>
      <c r="V24" s="82"/>
      <c r="X24" s="3"/>
    </row>
    <row r="25" spans="1:25" s="1" customFormat="1" ht="15" customHeight="1" x14ac:dyDescent="0.25">
      <c r="B25" s="41"/>
      <c r="C25" s="84" t="s">
        <v>95</v>
      </c>
      <c r="D25" s="84"/>
      <c r="E25" s="84"/>
      <c r="F25" s="2"/>
      <c r="G25" s="85" t="s">
        <v>94</v>
      </c>
      <c r="H25" s="2"/>
      <c r="I25" s="2"/>
      <c r="J25" s="2"/>
      <c r="K25" s="76">
        <v>0</v>
      </c>
      <c r="L25" s="76">
        <v>0</v>
      </c>
      <c r="M25" s="77">
        <v>0</v>
      </c>
      <c r="N25" s="76">
        <v>0</v>
      </c>
      <c r="O25" s="76">
        <v>0</v>
      </c>
      <c r="P25" s="86">
        <v>0</v>
      </c>
      <c r="Q25" s="86">
        <v>0</v>
      </c>
      <c r="R25" s="86">
        <v>0</v>
      </c>
      <c r="S25" s="86">
        <v>0</v>
      </c>
      <c r="T25" s="86"/>
      <c r="U25" s="67">
        <f t="shared" ref="U25:U26" si="14">SUM(N25:T25)</f>
        <v>0</v>
      </c>
      <c r="V25" s="68"/>
      <c r="X25" s="3"/>
    </row>
    <row r="26" spans="1:25" s="1" customFormat="1" ht="15" customHeight="1" x14ac:dyDescent="0.25">
      <c r="B26" s="41"/>
      <c r="C26" s="8" t="s">
        <v>96</v>
      </c>
      <c r="D26" s="8"/>
      <c r="E26" s="8"/>
      <c r="F26" s="8"/>
      <c r="G26" s="64" t="s">
        <v>94</v>
      </c>
      <c r="H26" s="8"/>
      <c r="I26" s="8"/>
      <c r="J26" s="8"/>
      <c r="K26" s="76">
        <v>-37500</v>
      </c>
      <c r="L26" s="76">
        <v>-39375</v>
      </c>
      <c r="M26" s="77">
        <v>-45625</v>
      </c>
      <c r="N26" s="86">
        <f>-IFERROR(AVERAGE(N59)*N$115,0)</f>
        <v>-50000</v>
      </c>
      <c r="O26" s="86">
        <f>-IFERROR(AVERAGE(N59:O59)*O$115,0)</f>
        <v>-46250</v>
      </c>
      <c r="P26" s="86">
        <f>-IFERROR(AVERAGE(O59:P59)*P$115,0)</f>
        <v>-38750</v>
      </c>
      <c r="Q26" s="86">
        <f>-IFERROR(AVERAGE(P59:Q59)*Q$115,0)</f>
        <v>-31250</v>
      </c>
      <c r="R26" s="86">
        <f>-IFERROR(AVERAGE(Q59:R59)*R$115,0)</f>
        <v>-23750</v>
      </c>
      <c r="S26" s="86">
        <f>-IFERROR(AVERAGE(R59:S59)*S$115,0)</f>
        <v>-16250</v>
      </c>
      <c r="T26" s="86"/>
      <c r="U26" s="67">
        <f t="shared" si="14"/>
        <v>-206250</v>
      </c>
      <c r="V26" s="68"/>
      <c r="X26" s="3"/>
    </row>
    <row r="27" spans="1:25" s="28" customFormat="1" ht="15" customHeight="1" x14ac:dyDescent="0.25">
      <c r="A27" s="1"/>
      <c r="B27" s="41"/>
      <c r="C27" s="44" t="s">
        <v>7</v>
      </c>
      <c r="D27" s="44"/>
      <c r="E27" s="44"/>
      <c r="F27" s="44"/>
      <c r="G27" s="43" t="s">
        <v>94</v>
      </c>
      <c r="H27" s="44"/>
      <c r="I27" s="44"/>
      <c r="J27" s="44"/>
      <c r="K27" s="78">
        <f>K22+SUM(K25:K26)</f>
        <v>1172500</v>
      </c>
      <c r="L27" s="78">
        <f t="shared" ref="L27:S27" si="15">L22+SUM(L25:L26)</f>
        <v>1300625</v>
      </c>
      <c r="M27" s="79">
        <f t="shared" si="15"/>
        <v>774375</v>
      </c>
      <c r="N27" s="78">
        <f>N22+SUM(N25:N26)</f>
        <v>1231500</v>
      </c>
      <c r="O27" s="78">
        <f t="shared" si="15"/>
        <v>754434.68181818142</v>
      </c>
      <c r="P27" s="78">
        <f t="shared" si="15"/>
        <v>844486.03295454499</v>
      </c>
      <c r="Q27" s="78">
        <f t="shared" si="15"/>
        <v>930223.36877840851</v>
      </c>
      <c r="R27" s="78">
        <f t="shared" si="15"/>
        <v>936305.14428096544</v>
      </c>
      <c r="S27" s="78">
        <f t="shared" si="15"/>
        <v>868937.69736921811</v>
      </c>
      <c r="T27" s="78"/>
      <c r="U27" s="71">
        <f t="shared" ref="U27" si="16">U22+SUM(U25:U26)</f>
        <v>5565886.9252013154</v>
      </c>
      <c r="V27" s="72"/>
      <c r="X27" s="3">
        <f>SUM(K22:S22)+SUM(K25:S26)-SUM(K27:S27)</f>
        <v>0</v>
      </c>
      <c r="Y27" s="1"/>
    </row>
    <row r="28" spans="1:25" s="49" customFormat="1" ht="15" customHeight="1" x14ac:dyDescent="0.25">
      <c r="B28" s="50"/>
      <c r="C28" s="51" t="str">
        <f>C27&amp;" Margin %"</f>
        <v>EBT Margin %</v>
      </c>
      <c r="D28" s="51"/>
      <c r="E28" s="51"/>
      <c r="F28" s="52"/>
      <c r="G28" s="52" t="s">
        <v>5</v>
      </c>
      <c r="H28" s="52"/>
      <c r="I28" s="52"/>
      <c r="J28" s="52"/>
      <c r="K28" s="73">
        <f t="shared" ref="K28:S28" si="17">IF(ISERR(K27/K$10),"NA",K27/K$10)</f>
        <v>0.26055555555555554</v>
      </c>
      <c r="L28" s="73">
        <f t="shared" si="17"/>
        <v>0.27381578947368423</v>
      </c>
      <c r="M28" s="74">
        <f t="shared" si="17"/>
        <v>0.15487500000000001</v>
      </c>
      <c r="N28" s="73">
        <f t="shared" si="17"/>
        <v>0.23399201976059281</v>
      </c>
      <c r="O28" s="73">
        <f t="shared" si="17"/>
        <v>0.13334594414153769</v>
      </c>
      <c r="P28" s="73">
        <f t="shared" si="17"/>
        <v>0.13884881339202843</v>
      </c>
      <c r="Q28" s="73">
        <f t="shared" si="17"/>
        <v>0.14566246259253454</v>
      </c>
      <c r="R28" s="73">
        <f t="shared" si="17"/>
        <v>0.13963314273966074</v>
      </c>
      <c r="S28" s="73">
        <f t="shared" si="17"/>
        <v>0.12341570914825893</v>
      </c>
      <c r="T28" s="73"/>
      <c r="U28" s="60">
        <f t="shared" ref="U28" si="18">IF(ISERR(U27/U$10),"NA",U27/U$10)</f>
        <v>0.14988194425007154</v>
      </c>
      <c r="V28" s="75"/>
      <c r="X28" s="3"/>
    </row>
    <row r="29" spans="1:25" s="1" customFormat="1" ht="15" customHeight="1" x14ac:dyDescent="0.25">
      <c r="B29" s="41"/>
      <c r="C29" s="80"/>
      <c r="D29" s="80"/>
      <c r="E29" s="80"/>
      <c r="F29" s="2"/>
      <c r="G29" s="2"/>
      <c r="H29" s="2"/>
      <c r="I29" s="2"/>
      <c r="J29" s="2"/>
      <c r="K29" s="89"/>
      <c r="L29" s="89"/>
      <c r="M29" s="90"/>
      <c r="N29" s="89"/>
      <c r="O29" s="89"/>
      <c r="P29" s="89"/>
      <c r="Q29" s="89"/>
      <c r="R29" s="89"/>
      <c r="S29" s="89"/>
      <c r="T29" s="89"/>
      <c r="U29" s="91"/>
      <c r="V29" s="90"/>
      <c r="X29" s="3"/>
    </row>
    <row r="30" spans="1:25" s="1" customFormat="1" ht="15" customHeight="1" x14ac:dyDescent="0.25">
      <c r="B30" s="41"/>
      <c r="C30" s="8" t="s">
        <v>97</v>
      </c>
      <c r="D30" s="8"/>
      <c r="E30" s="8"/>
      <c r="F30" s="8"/>
      <c r="G30" s="64" t="s">
        <v>94</v>
      </c>
      <c r="H30" s="8"/>
      <c r="I30" s="8"/>
      <c r="J30" s="8"/>
      <c r="K30" s="92">
        <v>-293125</v>
      </c>
      <c r="L30" s="92">
        <v>-325156.25</v>
      </c>
      <c r="M30" s="93">
        <v>-193593.75</v>
      </c>
      <c r="N30" s="92">
        <f t="shared" ref="N30:S30" si="19">IF(N27&gt;0,-N27*N$145,0)</f>
        <v>-307875</v>
      </c>
      <c r="O30" s="92">
        <f t="shared" si="19"/>
        <v>-188608.67045454535</v>
      </c>
      <c r="P30" s="92">
        <f t="shared" si="19"/>
        <v>-211121.50823863625</v>
      </c>
      <c r="Q30" s="92">
        <f t="shared" si="19"/>
        <v>-232555.84219460213</v>
      </c>
      <c r="R30" s="92">
        <f t="shared" si="19"/>
        <v>-234076.28607024136</v>
      </c>
      <c r="S30" s="92">
        <f t="shared" si="19"/>
        <v>-217234.42434230453</v>
      </c>
      <c r="T30" s="92"/>
      <c r="U30" s="67">
        <f>SUM(N30:T30)</f>
        <v>-1391471.7313003296</v>
      </c>
      <c r="V30" s="68"/>
      <c r="X30" s="3"/>
    </row>
    <row r="31" spans="1:25" s="1" customFormat="1" ht="15" customHeight="1" x14ac:dyDescent="0.25">
      <c r="B31" s="41"/>
      <c r="C31" s="94" t="s">
        <v>98</v>
      </c>
      <c r="D31" s="94"/>
      <c r="E31" s="94"/>
      <c r="F31" s="94"/>
      <c r="G31" s="95" t="s">
        <v>94</v>
      </c>
      <c r="H31" s="94"/>
      <c r="I31" s="94"/>
      <c r="J31" s="94"/>
      <c r="K31" s="96">
        <f t="shared" ref="K31:S31" si="20">K27+K30</f>
        <v>879375</v>
      </c>
      <c r="L31" s="96">
        <f t="shared" si="20"/>
        <v>975468.75</v>
      </c>
      <c r="M31" s="97">
        <f t="shared" si="20"/>
        <v>580781.25</v>
      </c>
      <c r="N31" s="96">
        <f t="shared" si="20"/>
        <v>923625</v>
      </c>
      <c r="O31" s="96">
        <f t="shared" si="20"/>
        <v>565826.011363636</v>
      </c>
      <c r="P31" s="96">
        <f t="shared" si="20"/>
        <v>633364.5247159088</v>
      </c>
      <c r="Q31" s="96">
        <f t="shared" si="20"/>
        <v>697667.52658380638</v>
      </c>
      <c r="R31" s="96">
        <f t="shared" si="20"/>
        <v>702228.85821072408</v>
      </c>
      <c r="S31" s="96">
        <f t="shared" si="20"/>
        <v>651703.27302691364</v>
      </c>
      <c r="T31" s="96"/>
      <c r="U31" s="98">
        <f t="shared" ref="U31" si="21">U27+U30</f>
        <v>4174415.1939009856</v>
      </c>
      <c r="V31" s="72"/>
      <c r="X31" s="3">
        <f>SUM(K27:S27)+SUM(K30:S30)-SUM(K31:S31)</f>
        <v>0</v>
      </c>
    </row>
    <row r="32" spans="1:25" s="49" customFormat="1" ht="15" customHeight="1" x14ac:dyDescent="0.25">
      <c r="B32" s="50"/>
      <c r="C32" s="51" t="str">
        <f>C31&amp;" Margin %"</f>
        <v>Net Income/Loss Margin %</v>
      </c>
      <c r="D32" s="51"/>
      <c r="E32" s="51"/>
      <c r="F32" s="99"/>
      <c r="G32" s="52" t="s">
        <v>5</v>
      </c>
      <c r="H32" s="99"/>
      <c r="I32" s="99"/>
      <c r="J32" s="99"/>
      <c r="K32" s="100">
        <f t="shared" ref="K32:S32" si="22">IF(ISERR(K31/K$10),"NA",K31/K$10)</f>
        <v>0.19541666666666666</v>
      </c>
      <c r="L32" s="100">
        <f t="shared" si="22"/>
        <v>0.20536184210526315</v>
      </c>
      <c r="M32" s="101">
        <f t="shared" si="22"/>
        <v>0.11615625</v>
      </c>
      <c r="N32" s="100">
        <f t="shared" si="22"/>
        <v>0.1754940148204446</v>
      </c>
      <c r="O32" s="100">
        <f t="shared" si="22"/>
        <v>0.10000945810615326</v>
      </c>
      <c r="P32" s="100">
        <f t="shared" si="22"/>
        <v>0.10413661004402132</v>
      </c>
      <c r="Q32" s="100">
        <f t="shared" si="22"/>
        <v>0.10924684694440091</v>
      </c>
      <c r="R32" s="100">
        <f t="shared" si="22"/>
        <v>0.10472485705474556</v>
      </c>
      <c r="S32" s="100">
        <f t="shared" si="22"/>
        <v>9.2561781861194209E-2</v>
      </c>
      <c r="T32" s="100"/>
      <c r="U32" s="60">
        <f t="shared" ref="U32" si="23">IF(ISERR(U31/U$10),"NA",U31/U$10)</f>
        <v>0.11241145818755363</v>
      </c>
      <c r="V32" s="102"/>
      <c r="X32" s="3"/>
    </row>
    <row r="33" spans="1:24" s="111" customFormat="1" ht="15" hidden="1" customHeight="1" outlineLevel="1" x14ac:dyDescent="0.25">
      <c r="A33" s="103"/>
      <c r="B33" s="104"/>
      <c r="C33" s="105" t="s">
        <v>8</v>
      </c>
      <c r="D33" s="106"/>
      <c r="E33" s="106"/>
      <c r="F33" s="106"/>
      <c r="G33" s="106"/>
      <c r="H33" s="106"/>
      <c r="I33" s="106"/>
      <c r="J33" s="106"/>
      <c r="K33" s="107">
        <v>0</v>
      </c>
      <c r="L33" s="107">
        <v>0</v>
      </c>
      <c r="M33" s="108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7"/>
      <c r="U33" s="109"/>
      <c r="V33" s="110"/>
      <c r="X33" s="29">
        <f>SUM(K33:S33)</f>
        <v>0</v>
      </c>
    </row>
    <row r="34" spans="1:24" s="1" customFormat="1" ht="15" customHeight="1" collapsed="1" x14ac:dyDescent="0.25">
      <c r="B34" s="112"/>
      <c r="C34" s="113"/>
      <c r="D34" s="113"/>
      <c r="E34" s="113"/>
      <c r="F34" s="8"/>
      <c r="G34" s="8"/>
      <c r="H34" s="8"/>
      <c r="I34" s="8"/>
      <c r="J34" s="8"/>
      <c r="K34" s="114"/>
      <c r="L34" s="114"/>
      <c r="M34" s="115"/>
      <c r="N34" s="114"/>
      <c r="O34" s="114"/>
      <c r="P34" s="114"/>
      <c r="Q34" s="114"/>
      <c r="R34" s="114"/>
      <c r="S34" s="114"/>
      <c r="T34" s="114"/>
      <c r="U34" s="116"/>
      <c r="V34" s="115"/>
      <c r="X34" s="3"/>
    </row>
    <row r="35" spans="1:24" s="1" customFormat="1" ht="15" customHeight="1" x14ac:dyDescent="0.25">
      <c r="C35" s="117"/>
      <c r="D35" s="117"/>
      <c r="E35" s="117"/>
      <c r="F35" s="117"/>
      <c r="G35" s="117"/>
      <c r="H35" s="117"/>
      <c r="I35" s="117"/>
      <c r="J35" s="117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X35" s="3"/>
    </row>
    <row r="36" spans="1:24" s="1" customFormat="1" ht="15" customHeight="1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X36" s="3"/>
    </row>
    <row r="37" spans="1:24" ht="15" customHeight="1" x14ac:dyDescent="0.25">
      <c r="A37" s="14"/>
      <c r="B37" s="14"/>
      <c r="C37" s="119" t="s">
        <v>85</v>
      </c>
      <c r="D37" s="119"/>
      <c r="E37" s="119"/>
      <c r="F37" s="119"/>
      <c r="G37" s="119"/>
      <c r="H37" s="119"/>
      <c r="I37" s="119"/>
      <c r="J37" s="119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4" s="28" customFormat="1" ht="15" customHeight="1" x14ac:dyDescent="0.25">
      <c r="A38" s="19">
        <f>MAX(A$1:A37)+1</f>
        <v>2</v>
      </c>
      <c r="B38" s="20"/>
      <c r="C38" s="21" t="s">
        <v>9</v>
      </c>
      <c r="D38" s="21"/>
      <c r="E38" s="21"/>
      <c r="F38" s="21"/>
      <c r="G38" s="21" t="s">
        <v>2</v>
      </c>
      <c r="H38" s="21"/>
      <c r="I38" s="21"/>
      <c r="J38" s="21"/>
      <c r="K38" s="22">
        <f t="shared" ref="K38:U38" si="24">K$7</f>
        <v>2023</v>
      </c>
      <c r="L38" s="22">
        <f t="shared" si="24"/>
        <v>2024</v>
      </c>
      <c r="M38" s="23">
        <f t="shared" si="24"/>
        <v>2025</v>
      </c>
      <c r="N38" s="24">
        <f t="shared" si="24"/>
        <v>2025</v>
      </c>
      <c r="O38" s="24">
        <f t="shared" si="24"/>
        <v>2026</v>
      </c>
      <c r="P38" s="24">
        <f t="shared" si="24"/>
        <v>2027</v>
      </c>
      <c r="Q38" s="24">
        <f t="shared" si="24"/>
        <v>2028</v>
      </c>
      <c r="R38" s="24">
        <f t="shared" si="24"/>
        <v>2029</v>
      </c>
      <c r="S38" s="24">
        <f t="shared" si="24"/>
        <v>2030</v>
      </c>
      <c r="T38" s="25"/>
      <c r="U38" s="26">
        <f t="shared" si="24"/>
        <v>5</v>
      </c>
      <c r="V38" s="27"/>
      <c r="X38" s="29"/>
    </row>
    <row r="39" spans="1:24" s="2" customFormat="1" ht="15" customHeight="1" x14ac:dyDescent="0.25">
      <c r="A39" s="14"/>
      <c r="B39" s="30"/>
      <c r="C39" s="31" t="str">
        <f>C$8</f>
        <v>Forecast Year</v>
      </c>
      <c r="D39" s="31"/>
      <c r="E39" s="31"/>
      <c r="F39" s="32"/>
      <c r="G39" s="32"/>
      <c r="H39" s="32"/>
      <c r="I39" s="33"/>
      <c r="J39" s="32"/>
      <c r="K39" s="33">
        <f t="shared" ref="K39:U39" si="25">K$8</f>
        <v>-2</v>
      </c>
      <c r="L39" s="33">
        <f t="shared" si="25"/>
        <v>-1</v>
      </c>
      <c r="M39" s="34">
        <f t="shared" si="25"/>
        <v>0</v>
      </c>
      <c r="N39" s="33">
        <f t="shared" si="25"/>
        <v>0</v>
      </c>
      <c r="O39" s="33">
        <f t="shared" si="25"/>
        <v>1</v>
      </c>
      <c r="P39" s="33">
        <f t="shared" si="25"/>
        <v>2</v>
      </c>
      <c r="Q39" s="33">
        <f t="shared" si="25"/>
        <v>3</v>
      </c>
      <c r="R39" s="33">
        <f t="shared" si="25"/>
        <v>4</v>
      </c>
      <c r="S39" s="33">
        <f t="shared" si="25"/>
        <v>5</v>
      </c>
      <c r="T39" s="33"/>
      <c r="U39" s="35">
        <f t="shared" si="25"/>
        <v>5</v>
      </c>
      <c r="V39" s="34"/>
      <c r="X39" s="3"/>
    </row>
    <row r="40" spans="1:24" ht="15" customHeight="1" x14ac:dyDescent="0.25">
      <c r="A40" s="14"/>
      <c r="B40" s="36"/>
      <c r="C40" s="14"/>
      <c r="D40" s="14"/>
      <c r="E40" s="14"/>
      <c r="F40" s="14"/>
      <c r="G40" s="14"/>
      <c r="H40" s="14"/>
      <c r="I40" s="14"/>
      <c r="J40" s="14"/>
      <c r="K40" s="17"/>
      <c r="L40" s="17"/>
      <c r="M40" s="120"/>
      <c r="N40" s="17"/>
      <c r="O40" s="17"/>
      <c r="P40" s="17"/>
      <c r="Q40" s="17"/>
      <c r="R40" s="17"/>
      <c r="S40" s="17"/>
      <c r="T40" s="17"/>
      <c r="U40" s="121"/>
      <c r="V40" s="120"/>
    </row>
    <row r="41" spans="1:24" ht="15" customHeight="1" x14ac:dyDescent="0.25">
      <c r="A41" s="14"/>
      <c r="B41" s="36"/>
      <c r="C41" s="17" t="s">
        <v>99</v>
      </c>
      <c r="D41" s="17"/>
      <c r="E41" s="17"/>
      <c r="F41" s="17"/>
      <c r="G41" s="122" t="s">
        <v>94</v>
      </c>
      <c r="H41" s="17"/>
      <c r="I41" s="17"/>
      <c r="J41" s="17"/>
      <c r="K41" s="123">
        <v>300000</v>
      </c>
      <c r="L41" s="123">
        <v>450000</v>
      </c>
      <c r="M41" s="124">
        <v>600000</v>
      </c>
      <c r="N41" s="125">
        <f>N98</f>
        <v>600000</v>
      </c>
      <c r="O41" s="125">
        <f t="shared" ref="O41:S41" si="26">O98</f>
        <v>971699.34309153142</v>
      </c>
      <c r="P41" s="125">
        <f t="shared" si="26"/>
        <v>1382499.7282334212</v>
      </c>
      <c r="Q41" s="125">
        <f t="shared" si="26"/>
        <v>1847644.6089623505</v>
      </c>
      <c r="R41" s="125">
        <f t="shared" si="26"/>
        <v>2063344.9667109593</v>
      </c>
      <c r="S41" s="125">
        <f t="shared" si="26"/>
        <v>2543752.2190717403</v>
      </c>
      <c r="T41" s="125"/>
      <c r="U41" s="126">
        <f>S41</f>
        <v>2543752.2190717403</v>
      </c>
      <c r="V41" s="127"/>
      <c r="X41" s="3">
        <v>0</v>
      </c>
    </row>
    <row r="42" spans="1:24" ht="15" customHeight="1" x14ac:dyDescent="0.25">
      <c r="A42" s="14"/>
      <c r="B42" s="36"/>
      <c r="C42" s="17" t="s">
        <v>100</v>
      </c>
      <c r="D42" s="17"/>
      <c r="E42" s="17"/>
      <c r="F42" s="17"/>
      <c r="G42" s="122" t="s">
        <v>94</v>
      </c>
      <c r="H42" s="17"/>
      <c r="I42" s="17"/>
      <c r="J42" s="17"/>
      <c r="K42" s="123">
        <v>600000</v>
      </c>
      <c r="L42" s="123">
        <v>550000</v>
      </c>
      <c r="M42" s="124">
        <v>450000</v>
      </c>
      <c r="N42" s="128">
        <f>N160</f>
        <v>432575.34246575343</v>
      </c>
      <c r="O42" s="128">
        <f t="shared" ref="O42:S44" si="27">O160</f>
        <v>465018.49315068492</v>
      </c>
      <c r="P42" s="128">
        <f t="shared" si="27"/>
        <v>499894.88013698632</v>
      </c>
      <c r="Q42" s="128">
        <f t="shared" si="27"/>
        <v>523455.49948770495</v>
      </c>
      <c r="R42" s="128">
        <f t="shared" si="27"/>
        <v>551134.10535102745</v>
      </c>
      <c r="S42" s="128">
        <f t="shared" si="27"/>
        <v>578690.81061857892</v>
      </c>
      <c r="T42" s="128"/>
      <c r="U42" s="126">
        <f t="shared" ref="U42:U44" si="28">S42</f>
        <v>578690.81061857892</v>
      </c>
      <c r="V42" s="127"/>
      <c r="X42" s="3">
        <v>0</v>
      </c>
    </row>
    <row r="43" spans="1:24" ht="15" customHeight="1" x14ac:dyDescent="0.25">
      <c r="A43" s="14"/>
      <c r="B43" s="36"/>
      <c r="C43" s="17" t="s">
        <v>101</v>
      </c>
      <c r="D43" s="17"/>
      <c r="E43" s="17"/>
      <c r="F43" s="17"/>
      <c r="G43" s="122" t="s">
        <v>94</v>
      </c>
      <c r="H43" s="17"/>
      <c r="I43" s="17"/>
      <c r="J43" s="17"/>
      <c r="K43" s="123">
        <v>450000</v>
      </c>
      <c r="L43" s="123">
        <v>550000</v>
      </c>
      <c r="M43" s="124">
        <v>350000</v>
      </c>
      <c r="N43" s="128">
        <f>N161</f>
        <v>108143.83561643836</v>
      </c>
      <c r="O43" s="128">
        <f t="shared" si="27"/>
        <v>130205.17808219181</v>
      </c>
      <c r="P43" s="128">
        <f t="shared" si="27"/>
        <v>139970.56643835615</v>
      </c>
      <c r="Q43" s="128">
        <f t="shared" si="27"/>
        <v>143950.26235911887</v>
      </c>
      <c r="R43" s="128">
        <f t="shared" si="27"/>
        <v>151561.87897153257</v>
      </c>
      <c r="S43" s="128">
        <f t="shared" si="27"/>
        <v>159139.9729201092</v>
      </c>
      <c r="T43" s="128"/>
      <c r="U43" s="126">
        <f t="shared" si="28"/>
        <v>159139.9729201092</v>
      </c>
      <c r="V43" s="127"/>
      <c r="X43" s="3">
        <v>0</v>
      </c>
    </row>
    <row r="44" spans="1:24" ht="15" customHeight="1" x14ac:dyDescent="0.25">
      <c r="A44" s="14"/>
      <c r="B44" s="36"/>
      <c r="C44" s="17" t="s">
        <v>102</v>
      </c>
      <c r="D44" s="17"/>
      <c r="E44" s="17"/>
      <c r="F44" s="17"/>
      <c r="G44" s="122" t="s">
        <v>94</v>
      </c>
      <c r="H44" s="17"/>
      <c r="I44" s="17"/>
      <c r="J44" s="17"/>
      <c r="K44" s="123">
        <v>40000</v>
      </c>
      <c r="L44" s="123">
        <v>40000</v>
      </c>
      <c r="M44" s="124">
        <v>20000</v>
      </c>
      <c r="N44" s="128">
        <f>N162</f>
        <v>26315</v>
      </c>
      <c r="O44" s="128">
        <f t="shared" si="27"/>
        <v>28288.625</v>
      </c>
      <c r="P44" s="128">
        <f t="shared" si="27"/>
        <v>30410.271875000002</v>
      </c>
      <c r="Q44" s="128">
        <f t="shared" si="27"/>
        <v>31930.78546875</v>
      </c>
      <c r="R44" s="128">
        <f t="shared" si="27"/>
        <v>33527.324742187506</v>
      </c>
      <c r="S44" s="128">
        <f t="shared" si="27"/>
        <v>35203.69097929688</v>
      </c>
      <c r="T44" s="128"/>
      <c r="U44" s="126">
        <f t="shared" si="28"/>
        <v>35203.69097929688</v>
      </c>
      <c r="V44" s="127"/>
      <c r="X44" s="3">
        <v>0</v>
      </c>
    </row>
    <row r="45" spans="1:24" ht="15" customHeight="1" x14ac:dyDescent="0.25">
      <c r="A45" s="14"/>
      <c r="B45" s="36"/>
      <c r="C45" s="129" t="s">
        <v>103</v>
      </c>
      <c r="D45" s="129"/>
      <c r="E45" s="129"/>
      <c r="F45" s="129"/>
      <c r="G45" s="130" t="s">
        <v>94</v>
      </c>
      <c r="H45" s="129"/>
      <c r="I45" s="129"/>
      <c r="J45" s="129"/>
      <c r="K45" s="131">
        <f>SUM(K41:K44)</f>
        <v>1390000</v>
      </c>
      <c r="L45" s="131">
        <f t="shared" ref="L45:S45" si="29">SUM(L41:L44)</f>
        <v>1590000</v>
      </c>
      <c r="M45" s="132">
        <f t="shared" si="29"/>
        <v>1420000</v>
      </c>
      <c r="N45" s="131">
        <f t="shared" si="29"/>
        <v>1167034.1780821919</v>
      </c>
      <c r="O45" s="131">
        <f t="shared" si="29"/>
        <v>1595211.6393244083</v>
      </c>
      <c r="P45" s="131">
        <f t="shared" si="29"/>
        <v>2052775.4466837638</v>
      </c>
      <c r="Q45" s="131">
        <f t="shared" si="29"/>
        <v>2546981.1562779248</v>
      </c>
      <c r="R45" s="131">
        <f t="shared" si="29"/>
        <v>2799568.2757757064</v>
      </c>
      <c r="S45" s="131">
        <f t="shared" si="29"/>
        <v>3316786.6935897251</v>
      </c>
      <c r="T45" s="133"/>
      <c r="U45" s="134">
        <f>SUM(U41:U44)</f>
        <v>3316786.6935897251</v>
      </c>
      <c r="V45" s="127"/>
      <c r="X45" s="3">
        <v>0</v>
      </c>
    </row>
    <row r="46" spans="1:24" s="1" customFormat="1" ht="15" customHeight="1" x14ac:dyDescent="0.25">
      <c r="B46" s="41"/>
      <c r="C46" s="17"/>
      <c r="D46" s="17"/>
      <c r="E46" s="17"/>
      <c r="F46" s="17"/>
      <c r="G46" s="122"/>
      <c r="H46" s="2"/>
      <c r="I46" s="2"/>
      <c r="J46" s="2"/>
      <c r="K46" s="123"/>
      <c r="L46" s="123"/>
      <c r="M46" s="124"/>
      <c r="N46" s="123"/>
      <c r="O46" s="123"/>
      <c r="P46" s="86"/>
      <c r="Q46" s="86"/>
      <c r="R46" s="86"/>
      <c r="S46" s="86"/>
      <c r="T46" s="86"/>
      <c r="U46" s="135"/>
      <c r="V46" s="136"/>
      <c r="X46" s="3"/>
    </row>
    <row r="47" spans="1:24" s="1" customFormat="1" ht="15" customHeight="1" x14ac:dyDescent="0.25">
      <c r="B47" s="41"/>
      <c r="C47" s="17" t="s">
        <v>104</v>
      </c>
      <c r="D47" s="17"/>
      <c r="E47" s="17"/>
      <c r="F47" s="17"/>
      <c r="G47" s="122" t="s">
        <v>94</v>
      </c>
      <c r="H47" s="2"/>
      <c r="I47" s="2"/>
      <c r="J47" s="2"/>
      <c r="K47" s="123">
        <v>1900000</v>
      </c>
      <c r="L47" s="123">
        <v>2000000</v>
      </c>
      <c r="M47" s="124">
        <v>2250000</v>
      </c>
      <c r="N47" s="137">
        <f>N189</f>
        <v>1500000</v>
      </c>
      <c r="O47" s="137">
        <f t="shared" ref="O47:S47" si="30">O189</f>
        <v>1200000</v>
      </c>
      <c r="P47" s="137">
        <f t="shared" si="30"/>
        <v>900000</v>
      </c>
      <c r="Q47" s="137">
        <f t="shared" si="30"/>
        <v>600000</v>
      </c>
      <c r="R47" s="137">
        <f t="shared" si="30"/>
        <v>550000</v>
      </c>
      <c r="S47" s="137">
        <f t="shared" si="30"/>
        <v>200000</v>
      </c>
      <c r="T47" s="137"/>
      <c r="U47" s="138">
        <f>U189</f>
        <v>200000</v>
      </c>
      <c r="V47" s="136"/>
      <c r="X47" s="3">
        <v>0</v>
      </c>
    </row>
    <row r="48" spans="1:24" s="1" customFormat="1" ht="15" customHeight="1" x14ac:dyDescent="0.25">
      <c r="B48" s="41"/>
      <c r="C48" s="129" t="s">
        <v>105</v>
      </c>
      <c r="D48" s="129"/>
      <c r="E48" s="129"/>
      <c r="F48" s="129"/>
      <c r="G48" s="130" t="s">
        <v>94</v>
      </c>
      <c r="H48" s="87"/>
      <c r="I48" s="87"/>
      <c r="J48" s="87"/>
      <c r="K48" s="131">
        <f>SUM(K47)</f>
        <v>1900000</v>
      </c>
      <c r="L48" s="131">
        <f t="shared" ref="L48:U48" si="31">SUM(L47)</f>
        <v>2000000</v>
      </c>
      <c r="M48" s="132">
        <f t="shared" si="31"/>
        <v>2250000</v>
      </c>
      <c r="N48" s="131">
        <f t="shared" si="31"/>
        <v>1500000</v>
      </c>
      <c r="O48" s="131">
        <f t="shared" si="31"/>
        <v>1200000</v>
      </c>
      <c r="P48" s="131">
        <f t="shared" si="31"/>
        <v>900000</v>
      </c>
      <c r="Q48" s="131">
        <f t="shared" si="31"/>
        <v>600000</v>
      </c>
      <c r="R48" s="131">
        <f t="shared" si="31"/>
        <v>550000</v>
      </c>
      <c r="S48" s="131">
        <f t="shared" si="31"/>
        <v>200000</v>
      </c>
      <c r="T48" s="78"/>
      <c r="U48" s="134">
        <f t="shared" si="31"/>
        <v>200000</v>
      </c>
      <c r="V48" s="136"/>
      <c r="X48" s="3">
        <v>0</v>
      </c>
    </row>
    <row r="49" spans="2:24" s="1" customFormat="1" ht="15" customHeight="1" x14ac:dyDescent="0.25">
      <c r="B49" s="41"/>
      <c r="C49" s="17"/>
      <c r="D49" s="139"/>
      <c r="E49" s="139"/>
      <c r="F49" s="139"/>
      <c r="G49" s="140"/>
      <c r="H49" s="8"/>
      <c r="I49" s="8"/>
      <c r="J49" s="8"/>
      <c r="K49" s="123"/>
      <c r="L49" s="123"/>
      <c r="M49" s="124"/>
      <c r="N49" s="141"/>
      <c r="O49" s="141"/>
      <c r="P49" s="141"/>
      <c r="Q49" s="141"/>
      <c r="R49" s="141"/>
      <c r="S49" s="141"/>
      <c r="T49" s="141"/>
      <c r="U49" s="142"/>
      <c r="V49" s="136"/>
      <c r="X49" s="3"/>
    </row>
    <row r="50" spans="2:24" s="1" customFormat="1" ht="15" customHeight="1" x14ac:dyDescent="0.25">
      <c r="B50" s="41"/>
      <c r="C50" s="143" t="s">
        <v>10</v>
      </c>
      <c r="D50" s="143"/>
      <c r="E50" s="143"/>
      <c r="F50" s="143"/>
      <c r="G50" s="144" t="s">
        <v>94</v>
      </c>
      <c r="H50" s="94"/>
      <c r="I50" s="94"/>
      <c r="J50" s="94"/>
      <c r="K50" s="145">
        <f>SUM(K48,K45)</f>
        <v>3290000</v>
      </c>
      <c r="L50" s="145">
        <f t="shared" ref="L50:U50" si="32">SUM(L48,L45)</f>
        <v>3590000</v>
      </c>
      <c r="M50" s="146">
        <f t="shared" si="32"/>
        <v>3670000</v>
      </c>
      <c r="N50" s="145">
        <f t="shared" si="32"/>
        <v>2667034.1780821919</v>
      </c>
      <c r="O50" s="145">
        <f t="shared" si="32"/>
        <v>2795211.639324408</v>
      </c>
      <c r="P50" s="145">
        <f t="shared" si="32"/>
        <v>2952775.4466837635</v>
      </c>
      <c r="Q50" s="145">
        <f t="shared" si="32"/>
        <v>3146981.1562779248</v>
      </c>
      <c r="R50" s="145">
        <f t="shared" si="32"/>
        <v>3349568.2757757064</v>
      </c>
      <c r="S50" s="145">
        <f t="shared" si="32"/>
        <v>3516786.6935897251</v>
      </c>
      <c r="T50" s="145"/>
      <c r="U50" s="147">
        <f t="shared" si="32"/>
        <v>3516786.6935897251</v>
      </c>
      <c r="V50" s="148"/>
      <c r="X50" s="3">
        <v>0</v>
      </c>
    </row>
    <row r="51" spans="2:24" s="1" customFormat="1" ht="15" customHeight="1" x14ac:dyDescent="0.25">
      <c r="B51" s="41"/>
      <c r="C51" s="2"/>
      <c r="D51" s="2"/>
      <c r="E51" s="2"/>
      <c r="F51" s="2"/>
      <c r="G51" s="2"/>
      <c r="H51" s="2"/>
      <c r="I51" s="2"/>
      <c r="J51" s="2"/>
      <c r="K51" s="149"/>
      <c r="L51" s="149"/>
      <c r="M51" s="150"/>
      <c r="N51" s="149"/>
      <c r="O51" s="149"/>
      <c r="P51" s="149"/>
      <c r="Q51" s="149"/>
      <c r="R51" s="149"/>
      <c r="S51" s="149"/>
      <c r="T51" s="149"/>
      <c r="U51" s="151"/>
      <c r="V51" s="150"/>
      <c r="X51" s="3"/>
    </row>
    <row r="52" spans="2:24" s="1" customFormat="1" ht="15" customHeight="1" x14ac:dyDescent="0.25">
      <c r="B52" s="41"/>
      <c r="C52" s="2"/>
      <c r="D52" s="2"/>
      <c r="E52" s="2"/>
      <c r="F52" s="2"/>
      <c r="G52" s="2"/>
      <c r="H52" s="2"/>
      <c r="I52" s="2"/>
      <c r="J52" s="2"/>
      <c r="K52" s="149"/>
      <c r="L52" s="149"/>
      <c r="M52" s="150"/>
      <c r="N52" s="149"/>
      <c r="O52" s="149"/>
      <c r="P52" s="149"/>
      <c r="Q52" s="149"/>
      <c r="R52" s="149"/>
      <c r="S52" s="149"/>
      <c r="T52" s="149"/>
      <c r="U52" s="151"/>
      <c r="V52" s="150"/>
      <c r="X52" s="3"/>
    </row>
    <row r="53" spans="2:24" s="14" customFormat="1" ht="15" customHeight="1" x14ac:dyDescent="0.25">
      <c r="B53" s="36"/>
      <c r="C53" s="17" t="s">
        <v>106</v>
      </c>
      <c r="D53" s="17"/>
      <c r="E53" s="17"/>
      <c r="F53" s="17"/>
      <c r="G53" s="122" t="s">
        <v>94</v>
      </c>
      <c r="H53" s="17"/>
      <c r="I53" s="17"/>
      <c r="J53" s="17"/>
      <c r="K53" s="152">
        <v>0</v>
      </c>
      <c r="L53" s="152">
        <v>0</v>
      </c>
      <c r="M53" s="153">
        <v>0</v>
      </c>
      <c r="N53" s="152">
        <v>0</v>
      </c>
      <c r="O53" s="152">
        <v>0</v>
      </c>
      <c r="P53" s="152">
        <v>0</v>
      </c>
      <c r="Q53" s="152">
        <v>0</v>
      </c>
      <c r="R53" s="152">
        <v>0</v>
      </c>
      <c r="S53" s="152">
        <v>0</v>
      </c>
      <c r="T53" s="128"/>
      <c r="U53" s="126">
        <f t="shared" ref="U53:U55" si="33">S53</f>
        <v>0</v>
      </c>
      <c r="V53" s="154"/>
      <c r="X53" s="3">
        <v>0</v>
      </c>
    </row>
    <row r="54" spans="2:24" s="14" customFormat="1" ht="15" customHeight="1" x14ac:dyDescent="0.25">
      <c r="B54" s="36"/>
      <c r="C54" s="17" t="s">
        <v>107</v>
      </c>
      <c r="D54" s="17"/>
      <c r="E54" s="17"/>
      <c r="F54" s="17"/>
      <c r="G54" s="122" t="s">
        <v>94</v>
      </c>
      <c r="H54" s="17"/>
      <c r="I54" s="17"/>
      <c r="J54" s="17"/>
      <c r="K54" s="152">
        <v>230000</v>
      </c>
      <c r="L54" s="152">
        <v>330000</v>
      </c>
      <c r="M54" s="153">
        <v>340000</v>
      </c>
      <c r="N54" s="128">
        <f>-N164</f>
        <v>144191.78082191781</v>
      </c>
      <c r="O54" s="128">
        <f t="shared" ref="O54:S55" si="34">-O164</f>
        <v>173606.90410958906</v>
      </c>
      <c r="P54" s="128">
        <f t="shared" si="34"/>
        <v>186627.42191780821</v>
      </c>
      <c r="Q54" s="128">
        <f t="shared" si="34"/>
        <v>191933.68314549181</v>
      </c>
      <c r="R54" s="128">
        <f t="shared" si="34"/>
        <v>202082.50529537676</v>
      </c>
      <c r="S54" s="128">
        <f t="shared" si="34"/>
        <v>212186.6305601456</v>
      </c>
      <c r="T54" s="128"/>
      <c r="U54" s="126">
        <f t="shared" si="33"/>
        <v>212186.6305601456</v>
      </c>
      <c r="V54" s="154"/>
      <c r="X54" s="3">
        <v>0</v>
      </c>
    </row>
    <row r="55" spans="2:24" s="14" customFormat="1" ht="15" customHeight="1" x14ac:dyDescent="0.25">
      <c r="B55" s="36"/>
      <c r="C55" s="17" t="s">
        <v>108</v>
      </c>
      <c r="D55" s="17"/>
      <c r="E55" s="17"/>
      <c r="F55" s="17"/>
      <c r="G55" s="122" t="s">
        <v>94</v>
      </c>
      <c r="H55" s="17"/>
      <c r="I55" s="17"/>
      <c r="J55" s="17"/>
      <c r="K55" s="152">
        <v>40000</v>
      </c>
      <c r="L55" s="152">
        <v>40000</v>
      </c>
      <c r="M55" s="153">
        <v>10000</v>
      </c>
      <c r="N55" s="128">
        <f>-N165</f>
        <v>13157.5</v>
      </c>
      <c r="O55" s="128">
        <f t="shared" si="34"/>
        <v>15841.630000000003</v>
      </c>
      <c r="P55" s="128">
        <f t="shared" si="34"/>
        <v>17029.752250000001</v>
      </c>
      <c r="Q55" s="128">
        <f t="shared" si="34"/>
        <v>17561.932007812502</v>
      </c>
      <c r="R55" s="128">
        <f t="shared" si="34"/>
        <v>18440.028608203127</v>
      </c>
      <c r="S55" s="128">
        <f t="shared" si="34"/>
        <v>19362.030038613288</v>
      </c>
      <c r="T55" s="128"/>
      <c r="U55" s="126">
        <f t="shared" si="33"/>
        <v>19362.030038613288</v>
      </c>
      <c r="V55" s="154"/>
      <c r="X55" s="3">
        <v>0</v>
      </c>
    </row>
    <row r="56" spans="2:24" s="1" customFormat="1" ht="15" customHeight="1" x14ac:dyDescent="0.25">
      <c r="B56" s="41"/>
      <c r="C56" s="129" t="s">
        <v>109</v>
      </c>
      <c r="D56" s="129"/>
      <c r="E56" s="129"/>
      <c r="F56" s="129"/>
      <c r="G56" s="130" t="s">
        <v>94</v>
      </c>
      <c r="H56" s="87"/>
      <c r="I56" s="87"/>
      <c r="J56" s="87"/>
      <c r="K56" s="131">
        <f>SUM(K53:K55)</f>
        <v>270000</v>
      </c>
      <c r="L56" s="131">
        <f t="shared" ref="L56:U56" si="35">SUM(L53:L55)</f>
        <v>370000</v>
      </c>
      <c r="M56" s="132">
        <f t="shared" si="35"/>
        <v>350000</v>
      </c>
      <c r="N56" s="131">
        <f t="shared" si="35"/>
        <v>157349.28082191781</v>
      </c>
      <c r="O56" s="131">
        <f t="shared" si="35"/>
        <v>189448.53410958906</v>
      </c>
      <c r="P56" s="131">
        <f t="shared" si="35"/>
        <v>203657.1741678082</v>
      </c>
      <c r="Q56" s="131">
        <f t="shared" si="35"/>
        <v>209495.6151533043</v>
      </c>
      <c r="R56" s="131">
        <f t="shared" si="35"/>
        <v>220522.5339035799</v>
      </c>
      <c r="S56" s="131">
        <f t="shared" si="35"/>
        <v>231548.6605987589</v>
      </c>
      <c r="T56" s="78"/>
      <c r="U56" s="134">
        <f t="shared" si="35"/>
        <v>231548.6605987589</v>
      </c>
      <c r="V56" s="136"/>
      <c r="X56" s="3">
        <v>0</v>
      </c>
    </row>
    <row r="57" spans="2:24" s="1" customFormat="1" ht="15" customHeight="1" x14ac:dyDescent="0.25">
      <c r="B57" s="41"/>
      <c r="C57" s="42"/>
      <c r="D57" s="42"/>
      <c r="E57" s="42"/>
      <c r="F57" s="42"/>
      <c r="G57" s="155"/>
      <c r="H57" s="44"/>
      <c r="I57" s="44"/>
      <c r="J57" s="44"/>
      <c r="K57" s="156"/>
      <c r="L57" s="156"/>
      <c r="M57" s="157"/>
      <c r="N57" s="156"/>
      <c r="O57" s="156"/>
      <c r="P57" s="156"/>
      <c r="Q57" s="156"/>
      <c r="R57" s="156"/>
      <c r="S57" s="156"/>
      <c r="T57" s="70"/>
      <c r="U57" s="158"/>
      <c r="V57" s="136"/>
      <c r="X57" s="3"/>
    </row>
    <row r="58" spans="2:24" s="1" customFormat="1" ht="15" customHeight="1" x14ac:dyDescent="0.25">
      <c r="B58" s="41"/>
      <c r="C58" s="17" t="s">
        <v>110</v>
      </c>
      <c r="D58" s="17"/>
      <c r="E58" s="17"/>
      <c r="F58" s="17"/>
      <c r="G58" s="122" t="s">
        <v>94</v>
      </c>
      <c r="H58" s="2"/>
      <c r="I58" s="2"/>
      <c r="J58" s="2"/>
      <c r="K58" s="76">
        <v>0</v>
      </c>
      <c r="L58" s="76">
        <v>0</v>
      </c>
      <c r="M58" s="77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137"/>
      <c r="U58" s="126">
        <f t="shared" ref="U58" si="36">S58</f>
        <v>0</v>
      </c>
      <c r="V58" s="159"/>
      <c r="X58" s="3">
        <v>0</v>
      </c>
    </row>
    <row r="59" spans="2:24" s="1" customFormat="1" ht="15" customHeight="1" x14ac:dyDescent="0.25">
      <c r="B59" s="41"/>
      <c r="C59" s="17" t="s">
        <v>111</v>
      </c>
      <c r="D59" s="17"/>
      <c r="E59" s="17"/>
      <c r="F59" s="17"/>
      <c r="G59" s="122" t="s">
        <v>94</v>
      </c>
      <c r="H59" s="2"/>
      <c r="I59" s="2"/>
      <c r="J59" s="2"/>
      <c r="K59" s="76">
        <v>1500000</v>
      </c>
      <c r="L59" s="76">
        <v>1650000</v>
      </c>
      <c r="M59" s="77">
        <v>2000000</v>
      </c>
      <c r="N59" s="76">
        <v>2000000</v>
      </c>
      <c r="O59" s="76">
        <v>1700000</v>
      </c>
      <c r="P59" s="76">
        <v>1400000</v>
      </c>
      <c r="Q59" s="76">
        <v>1100000</v>
      </c>
      <c r="R59" s="76">
        <v>800000</v>
      </c>
      <c r="S59" s="76">
        <v>500000</v>
      </c>
      <c r="T59" s="137"/>
      <c r="U59" s="138">
        <f>S59</f>
        <v>500000</v>
      </c>
      <c r="V59" s="159"/>
      <c r="X59" s="3">
        <v>0</v>
      </c>
    </row>
    <row r="60" spans="2:24" s="1" customFormat="1" ht="15" customHeight="1" x14ac:dyDescent="0.25">
      <c r="B60" s="41"/>
      <c r="C60" s="129" t="s">
        <v>112</v>
      </c>
      <c r="D60" s="129"/>
      <c r="E60" s="129"/>
      <c r="F60" s="129"/>
      <c r="G60" s="130" t="s">
        <v>94</v>
      </c>
      <c r="H60" s="87"/>
      <c r="I60" s="87"/>
      <c r="J60" s="87"/>
      <c r="K60" s="131">
        <f>SUM(K58:K59)</f>
        <v>1500000</v>
      </c>
      <c r="L60" s="131">
        <f t="shared" ref="L60:U60" si="37">SUM(L58:L59)</f>
        <v>1650000</v>
      </c>
      <c r="M60" s="132">
        <f t="shared" si="37"/>
        <v>2000000</v>
      </c>
      <c r="N60" s="131">
        <f t="shared" si="37"/>
        <v>2000000</v>
      </c>
      <c r="O60" s="131">
        <f t="shared" si="37"/>
        <v>1700000</v>
      </c>
      <c r="P60" s="131">
        <f t="shared" si="37"/>
        <v>1400000</v>
      </c>
      <c r="Q60" s="131">
        <f t="shared" si="37"/>
        <v>1100000</v>
      </c>
      <c r="R60" s="131">
        <f t="shared" si="37"/>
        <v>800000</v>
      </c>
      <c r="S60" s="131">
        <f t="shared" si="37"/>
        <v>500000</v>
      </c>
      <c r="T60" s="78"/>
      <c r="U60" s="134">
        <f t="shared" si="37"/>
        <v>500000</v>
      </c>
      <c r="V60" s="136"/>
      <c r="X60" s="3">
        <v>0</v>
      </c>
    </row>
    <row r="61" spans="2:24" s="1" customFormat="1" ht="15" customHeight="1" x14ac:dyDescent="0.25">
      <c r="B61" s="41"/>
      <c r="C61" s="42"/>
      <c r="D61" s="42"/>
      <c r="E61" s="42"/>
      <c r="F61" s="42"/>
      <c r="G61" s="155"/>
      <c r="H61" s="44"/>
      <c r="I61" s="44"/>
      <c r="J61" s="44"/>
      <c r="K61" s="156"/>
      <c r="L61" s="156"/>
      <c r="M61" s="157"/>
      <c r="N61" s="156"/>
      <c r="O61" s="156"/>
      <c r="P61" s="156"/>
      <c r="Q61" s="156"/>
      <c r="R61" s="156"/>
      <c r="S61" s="156"/>
      <c r="T61" s="70"/>
      <c r="U61" s="158"/>
      <c r="V61" s="136"/>
      <c r="X61" s="3"/>
    </row>
    <row r="62" spans="2:24" s="28" customFormat="1" ht="15" customHeight="1" x14ac:dyDescent="0.25">
      <c r="B62" s="160"/>
      <c r="C62" s="42" t="s">
        <v>113</v>
      </c>
      <c r="D62" s="42"/>
      <c r="E62" s="42"/>
      <c r="F62" s="42"/>
      <c r="G62" s="155" t="s">
        <v>94</v>
      </c>
      <c r="H62" s="44"/>
      <c r="I62" s="44"/>
      <c r="J62" s="44"/>
      <c r="K62" s="161">
        <f>K50-SUM(K60,K56)</f>
        <v>1520000</v>
      </c>
      <c r="L62" s="161">
        <f t="shared" ref="L62:M62" si="38">L50-SUM(L60,L56)</f>
        <v>1570000</v>
      </c>
      <c r="M62" s="148">
        <f t="shared" si="38"/>
        <v>1320000</v>
      </c>
      <c r="N62" s="161">
        <f>N50-SUM(N56,N60)</f>
        <v>509684.89726027427</v>
      </c>
      <c r="O62" s="161">
        <f>N62+O31+O92</f>
        <v>905763.10521481954</v>
      </c>
      <c r="P62" s="161">
        <f t="shared" ref="P62:S62" si="39">O62+P31+P92</f>
        <v>1349118.2725159556</v>
      </c>
      <c r="Q62" s="161">
        <f t="shared" si="39"/>
        <v>1837485.54112462</v>
      </c>
      <c r="R62" s="161">
        <f t="shared" si="39"/>
        <v>2329045.7418721272</v>
      </c>
      <c r="S62" s="161">
        <f t="shared" si="39"/>
        <v>2785238.0329909665</v>
      </c>
      <c r="T62" s="161"/>
      <c r="U62" s="162">
        <f>S62</f>
        <v>2785238.0329909665</v>
      </c>
      <c r="V62" s="163"/>
      <c r="X62" s="3">
        <v>0</v>
      </c>
    </row>
    <row r="63" spans="2:24" s="1" customFormat="1" ht="15" customHeight="1" x14ac:dyDescent="0.25">
      <c r="B63" s="41"/>
      <c r="C63" s="139"/>
      <c r="D63" s="139"/>
      <c r="E63" s="139"/>
      <c r="F63" s="139"/>
      <c r="G63" s="140"/>
      <c r="H63" s="8"/>
      <c r="I63" s="8"/>
      <c r="J63" s="8"/>
      <c r="K63" s="141"/>
      <c r="L63" s="141"/>
      <c r="M63" s="164"/>
      <c r="N63" s="141"/>
      <c r="O63" s="141"/>
      <c r="P63" s="141"/>
      <c r="Q63" s="141"/>
      <c r="R63" s="141"/>
      <c r="S63" s="141"/>
      <c r="T63" s="141"/>
      <c r="U63" s="142"/>
      <c r="V63" s="159"/>
      <c r="X63" s="3"/>
    </row>
    <row r="64" spans="2:24" s="1" customFormat="1" ht="15" customHeight="1" x14ac:dyDescent="0.25">
      <c r="B64" s="41"/>
      <c r="C64" s="143" t="s">
        <v>114</v>
      </c>
      <c r="D64" s="143"/>
      <c r="E64" s="143"/>
      <c r="F64" s="143"/>
      <c r="G64" s="144" t="s">
        <v>94</v>
      </c>
      <c r="H64" s="94"/>
      <c r="I64" s="94"/>
      <c r="J64" s="94"/>
      <c r="K64" s="145">
        <f>SUM(K62,K60,K56)</f>
        <v>3290000</v>
      </c>
      <c r="L64" s="145">
        <f t="shared" ref="L64:U64" si="40">SUM(L62,L60,L56)</f>
        <v>3590000</v>
      </c>
      <c r="M64" s="146">
        <f t="shared" si="40"/>
        <v>3670000</v>
      </c>
      <c r="N64" s="145">
        <f>SUM(N62,N60,N56)</f>
        <v>2667034.1780821923</v>
      </c>
      <c r="O64" s="145">
        <f t="shared" si="40"/>
        <v>2795211.6393244085</v>
      </c>
      <c r="P64" s="145">
        <f t="shared" si="40"/>
        <v>2952775.4466837635</v>
      </c>
      <c r="Q64" s="145">
        <f t="shared" si="40"/>
        <v>3146981.1562779243</v>
      </c>
      <c r="R64" s="145">
        <f t="shared" si="40"/>
        <v>3349568.2757757069</v>
      </c>
      <c r="S64" s="145">
        <f t="shared" si="40"/>
        <v>3516786.6935897255</v>
      </c>
      <c r="T64" s="145"/>
      <c r="U64" s="147">
        <f t="shared" si="40"/>
        <v>3516786.6935897255</v>
      </c>
      <c r="V64" s="148"/>
      <c r="X64" s="3">
        <v>0</v>
      </c>
    </row>
    <row r="65" spans="1:24" s="111" customFormat="1" ht="15" hidden="1" customHeight="1" outlineLevel="1" x14ac:dyDescent="0.25">
      <c r="A65" s="103"/>
      <c r="B65" s="104"/>
      <c r="C65" s="105" t="s">
        <v>8</v>
      </c>
      <c r="D65" s="106"/>
      <c r="E65" s="106"/>
      <c r="F65" s="106"/>
      <c r="G65" s="106"/>
      <c r="H65" s="106"/>
      <c r="I65" s="106"/>
      <c r="J65" s="106"/>
      <c r="K65" s="107">
        <f t="shared" ref="K65:S65" si="41">K50-K64</f>
        <v>0</v>
      </c>
      <c r="L65" s="107">
        <f t="shared" si="41"/>
        <v>0</v>
      </c>
      <c r="M65" s="108">
        <f t="shared" si="41"/>
        <v>0</v>
      </c>
      <c r="N65" s="107">
        <f t="shared" si="41"/>
        <v>0</v>
      </c>
      <c r="O65" s="107">
        <f t="shared" si="41"/>
        <v>0</v>
      </c>
      <c r="P65" s="107">
        <f t="shared" si="41"/>
        <v>0</v>
      </c>
      <c r="Q65" s="107">
        <f t="shared" si="41"/>
        <v>0</v>
      </c>
      <c r="R65" s="107">
        <f t="shared" si="41"/>
        <v>0</v>
      </c>
      <c r="S65" s="107">
        <f t="shared" si="41"/>
        <v>0</v>
      </c>
      <c r="T65" s="107"/>
      <c r="U65" s="109">
        <f t="shared" ref="U65" si="42">U50-U64</f>
        <v>0</v>
      </c>
      <c r="V65" s="110"/>
      <c r="X65" s="29">
        <f>SUM(K65:V65)</f>
        <v>0</v>
      </c>
    </row>
    <row r="66" spans="1:24" s="1" customFormat="1" ht="15" customHeight="1" collapsed="1" x14ac:dyDescent="0.25">
      <c r="B66" s="112"/>
      <c r="C66" s="8"/>
      <c r="D66" s="8"/>
      <c r="E66" s="8"/>
      <c r="F66" s="8"/>
      <c r="G66" s="8"/>
      <c r="H66" s="8"/>
      <c r="I66" s="8"/>
      <c r="J66" s="8"/>
      <c r="K66" s="165"/>
      <c r="L66" s="165"/>
      <c r="M66" s="166"/>
      <c r="N66" s="165"/>
      <c r="O66" s="165"/>
      <c r="P66" s="165"/>
      <c r="Q66" s="165"/>
      <c r="R66" s="165"/>
      <c r="S66" s="165"/>
      <c r="T66" s="165"/>
      <c r="U66" s="167"/>
      <c r="V66" s="166"/>
      <c r="X66" s="3"/>
    </row>
    <row r="67" spans="1:24" s="1" customFormat="1" ht="15" customHeight="1" x14ac:dyDescent="0.25">
      <c r="C67" s="2"/>
      <c r="D67" s="2"/>
      <c r="E67" s="2"/>
      <c r="F67" s="2"/>
      <c r="G67" s="2"/>
      <c r="H67" s="2"/>
      <c r="I67" s="2"/>
      <c r="J67" s="2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X67" s="3"/>
    </row>
    <row r="68" spans="1:24" s="1" customFormat="1" ht="15" customHeight="1" x14ac:dyDescent="0.25">
      <c r="X68" s="3"/>
    </row>
    <row r="69" spans="1:24" s="1" customFormat="1" ht="15" customHeight="1" x14ac:dyDescent="0.25">
      <c r="X69" s="3"/>
    </row>
    <row r="70" spans="1:24" ht="15" customHeight="1" x14ac:dyDescent="0.25">
      <c r="A70" s="14"/>
      <c r="B70" s="14"/>
      <c r="C70" s="119" t="s">
        <v>85</v>
      </c>
      <c r="D70" s="119"/>
      <c r="E70" s="119"/>
      <c r="F70" s="119"/>
      <c r="G70" s="119"/>
      <c r="H70" s="119"/>
      <c r="I70" s="119"/>
      <c r="J70" s="119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4" s="28" customFormat="1" ht="15" customHeight="1" x14ac:dyDescent="0.25">
      <c r="A71" s="19">
        <f>MAX(A$1:A70)+1</f>
        <v>3</v>
      </c>
      <c r="B71" s="20"/>
      <c r="C71" s="21" t="s">
        <v>11</v>
      </c>
      <c r="D71" s="21"/>
      <c r="E71" s="21"/>
      <c r="F71" s="21"/>
      <c r="G71" s="21" t="s">
        <v>2</v>
      </c>
      <c r="H71" s="21"/>
      <c r="I71" s="21"/>
      <c r="J71" s="21"/>
      <c r="K71" s="22">
        <f t="shared" ref="K71:U71" si="43">K$7</f>
        <v>2023</v>
      </c>
      <c r="L71" s="22">
        <f t="shared" si="43"/>
        <v>2024</v>
      </c>
      <c r="M71" s="23">
        <f t="shared" si="43"/>
        <v>2025</v>
      </c>
      <c r="N71" s="24">
        <f t="shared" si="43"/>
        <v>2025</v>
      </c>
      <c r="O71" s="24">
        <f t="shared" si="43"/>
        <v>2026</v>
      </c>
      <c r="P71" s="24">
        <f t="shared" si="43"/>
        <v>2027</v>
      </c>
      <c r="Q71" s="24">
        <f t="shared" si="43"/>
        <v>2028</v>
      </c>
      <c r="R71" s="24">
        <f t="shared" si="43"/>
        <v>2029</v>
      </c>
      <c r="S71" s="24">
        <f t="shared" si="43"/>
        <v>2030</v>
      </c>
      <c r="T71" s="25"/>
      <c r="U71" s="26">
        <f t="shared" si="43"/>
        <v>5</v>
      </c>
      <c r="V71" s="27"/>
      <c r="X71" s="29"/>
    </row>
    <row r="72" spans="1:24" s="2" customFormat="1" ht="15" customHeight="1" x14ac:dyDescent="0.25">
      <c r="A72" s="14"/>
      <c r="B72" s="30"/>
      <c r="C72" s="31" t="str">
        <f>C$8</f>
        <v>Forecast Year</v>
      </c>
      <c r="D72" s="31"/>
      <c r="E72" s="31"/>
      <c r="F72" s="32"/>
      <c r="G72" s="32"/>
      <c r="H72" s="32"/>
      <c r="I72" s="33"/>
      <c r="J72" s="32"/>
      <c r="K72" s="33">
        <f t="shared" ref="K72:U72" si="44">K$8</f>
        <v>-2</v>
      </c>
      <c r="L72" s="33">
        <f t="shared" si="44"/>
        <v>-1</v>
      </c>
      <c r="M72" s="34">
        <f t="shared" si="44"/>
        <v>0</v>
      </c>
      <c r="N72" s="33">
        <f t="shared" si="44"/>
        <v>0</v>
      </c>
      <c r="O72" s="33">
        <f t="shared" si="44"/>
        <v>1</v>
      </c>
      <c r="P72" s="33">
        <f t="shared" si="44"/>
        <v>2</v>
      </c>
      <c r="Q72" s="33">
        <f t="shared" si="44"/>
        <v>3</v>
      </c>
      <c r="R72" s="33">
        <f t="shared" si="44"/>
        <v>4</v>
      </c>
      <c r="S72" s="33">
        <f t="shared" si="44"/>
        <v>5</v>
      </c>
      <c r="T72" s="33"/>
      <c r="U72" s="35">
        <f t="shared" si="44"/>
        <v>5</v>
      </c>
      <c r="V72" s="34"/>
      <c r="X72" s="3"/>
    </row>
    <row r="73" spans="1:24" ht="15" customHeight="1" x14ac:dyDescent="0.25">
      <c r="A73" s="14"/>
      <c r="B73" s="36"/>
      <c r="C73" s="17"/>
      <c r="D73" s="17"/>
      <c r="E73" s="17"/>
      <c r="F73" s="17"/>
      <c r="G73" s="17"/>
      <c r="H73" s="17"/>
      <c r="I73" s="17"/>
      <c r="J73" s="17"/>
      <c r="K73" s="168"/>
      <c r="L73" s="168"/>
      <c r="M73" s="169"/>
      <c r="N73" s="168"/>
      <c r="O73" s="168"/>
      <c r="P73" s="168"/>
      <c r="Q73" s="168"/>
      <c r="R73" s="168"/>
      <c r="S73" s="168"/>
      <c r="T73" s="168"/>
      <c r="U73" s="170"/>
      <c r="V73" s="169"/>
      <c r="X73" s="29"/>
    </row>
    <row r="74" spans="1:24" s="1" customFormat="1" ht="15" customHeight="1" x14ac:dyDescent="0.25">
      <c r="B74" s="41"/>
      <c r="C74" s="42" t="s">
        <v>12</v>
      </c>
      <c r="D74" s="42"/>
      <c r="E74" s="42"/>
      <c r="F74" s="171"/>
      <c r="G74" s="171"/>
      <c r="H74" s="80"/>
      <c r="I74" s="80"/>
      <c r="J74" s="80"/>
      <c r="K74" s="172"/>
      <c r="L74" s="172"/>
      <c r="M74" s="173"/>
      <c r="N74" s="172"/>
      <c r="O74" s="172"/>
      <c r="P74" s="172"/>
      <c r="Q74" s="172"/>
      <c r="R74" s="172"/>
      <c r="S74" s="172"/>
      <c r="T74" s="172"/>
      <c r="U74" s="174"/>
      <c r="V74" s="173"/>
      <c r="X74" s="3"/>
    </row>
    <row r="75" spans="1:24" s="1" customFormat="1" ht="15" customHeight="1" x14ac:dyDescent="0.25">
      <c r="B75" s="41"/>
      <c r="C75" s="17" t="str">
        <f>C31</f>
        <v>Net Income/Loss</v>
      </c>
      <c r="D75" s="17"/>
      <c r="E75" s="17"/>
      <c r="F75" s="175"/>
      <c r="G75" s="122" t="s">
        <v>94</v>
      </c>
      <c r="H75" s="2"/>
      <c r="I75" s="176"/>
      <c r="J75" s="2"/>
      <c r="K75" s="137"/>
      <c r="L75" s="137"/>
      <c r="M75" s="136"/>
      <c r="N75" s="137">
        <f t="shared" ref="N75:S75" si="45">N31</f>
        <v>923625</v>
      </c>
      <c r="O75" s="137">
        <f t="shared" si="45"/>
        <v>565826.011363636</v>
      </c>
      <c r="P75" s="137">
        <f t="shared" si="45"/>
        <v>633364.5247159088</v>
      </c>
      <c r="Q75" s="137">
        <f t="shared" si="45"/>
        <v>697667.52658380638</v>
      </c>
      <c r="R75" s="137">
        <f t="shared" si="45"/>
        <v>702228.85821072408</v>
      </c>
      <c r="S75" s="137">
        <f t="shared" si="45"/>
        <v>651703.27302691364</v>
      </c>
      <c r="T75" s="137"/>
      <c r="U75" s="67">
        <f t="shared" ref="U75:U82" si="46">SUM(N75:T75)</f>
        <v>4174415.1939009884</v>
      </c>
      <c r="V75" s="136"/>
      <c r="X75" s="3">
        <f>U75-U31</f>
        <v>0</v>
      </c>
    </row>
    <row r="76" spans="1:24" s="1" customFormat="1" ht="15" customHeight="1" x14ac:dyDescent="0.25">
      <c r="B76" s="41"/>
      <c r="C76" s="17" t="str">
        <f>"Addback "&amp;C21</f>
        <v>Addback Depreciation</v>
      </c>
      <c r="D76" s="168"/>
      <c r="E76" s="168"/>
      <c r="F76" s="175"/>
      <c r="G76" s="122" t="s">
        <v>94</v>
      </c>
      <c r="H76" s="2"/>
      <c r="I76" s="176"/>
      <c r="J76" s="2"/>
      <c r="K76" s="137"/>
      <c r="L76" s="137"/>
      <c r="M76" s="136"/>
      <c r="N76" s="137">
        <f t="shared" ref="N76:S76" si="47">-N21</f>
        <v>0</v>
      </c>
      <c r="O76" s="137">
        <f t="shared" si="47"/>
        <v>300000</v>
      </c>
      <c r="P76" s="137">
        <f t="shared" si="47"/>
        <v>300000</v>
      </c>
      <c r="Q76" s="137">
        <f t="shared" si="47"/>
        <v>300000</v>
      </c>
      <c r="R76" s="137">
        <f t="shared" si="47"/>
        <v>300000</v>
      </c>
      <c r="S76" s="137">
        <f t="shared" si="47"/>
        <v>350000</v>
      </c>
      <c r="T76" s="137"/>
      <c r="U76" s="67">
        <f t="shared" si="46"/>
        <v>1550000</v>
      </c>
      <c r="V76" s="136"/>
      <c r="X76" s="3">
        <f>U76+U21</f>
        <v>0</v>
      </c>
    </row>
    <row r="77" spans="1:24" s="1" customFormat="1" ht="15" customHeight="1" x14ac:dyDescent="0.25">
      <c r="B77" s="41"/>
      <c r="C77" s="17" t="str">
        <f>"Change in "&amp;C42</f>
        <v>Change in Receivables</v>
      </c>
      <c r="D77" s="17"/>
      <c r="E77" s="17"/>
      <c r="F77" s="175"/>
      <c r="G77" s="122" t="s">
        <v>94</v>
      </c>
      <c r="H77" s="2"/>
      <c r="I77" s="176"/>
      <c r="J77" s="2"/>
      <c r="K77" s="137"/>
      <c r="L77" s="137"/>
      <c r="M77" s="136"/>
      <c r="N77" s="137">
        <f>N160</f>
        <v>432575.34246575343</v>
      </c>
      <c r="O77" s="137">
        <f>N160-O160</f>
        <v>-32443.15068493149</v>
      </c>
      <c r="P77" s="137">
        <f t="shared" ref="P77:S77" si="48">O160-P160</f>
        <v>-34876.386986301397</v>
      </c>
      <c r="Q77" s="137">
        <f t="shared" si="48"/>
        <v>-23560.619350718625</v>
      </c>
      <c r="R77" s="137">
        <f t="shared" si="48"/>
        <v>-27678.605863322504</v>
      </c>
      <c r="S77" s="137">
        <f t="shared" si="48"/>
        <v>-27556.705267551471</v>
      </c>
      <c r="T77" s="137"/>
      <c r="U77" s="67">
        <f t="shared" si="46"/>
        <v>286459.87431292795</v>
      </c>
      <c r="V77" s="136"/>
      <c r="X77" s="3"/>
    </row>
    <row r="78" spans="1:24" s="1" customFormat="1" ht="15" customHeight="1" x14ac:dyDescent="0.25">
      <c r="B78" s="41"/>
      <c r="C78" s="17" t="str">
        <f>"Change in "&amp;C43</f>
        <v>Change in Inventory</v>
      </c>
      <c r="D78" s="17"/>
      <c r="E78" s="17"/>
      <c r="F78" s="175"/>
      <c r="G78" s="122" t="s">
        <v>94</v>
      </c>
      <c r="H78" s="2"/>
      <c r="I78" s="176"/>
      <c r="J78" s="2"/>
      <c r="K78" s="137"/>
      <c r="L78" s="137"/>
      <c r="M78" s="136"/>
      <c r="N78" s="137">
        <f>N161</f>
        <v>108143.83561643836</v>
      </c>
      <c r="O78" s="137">
        <f t="shared" ref="O78:S79" si="49">N161-O161</f>
        <v>-22061.342465753449</v>
      </c>
      <c r="P78" s="137">
        <f t="shared" si="49"/>
        <v>-9765.3883561643452</v>
      </c>
      <c r="Q78" s="137">
        <f t="shared" si="49"/>
        <v>-3979.6959207627224</v>
      </c>
      <c r="R78" s="137">
        <f t="shared" si="49"/>
        <v>-7611.6166124136944</v>
      </c>
      <c r="S78" s="137">
        <f t="shared" si="49"/>
        <v>-7578.0939485766285</v>
      </c>
      <c r="T78" s="137"/>
      <c r="U78" s="67">
        <f t="shared" si="46"/>
        <v>57147.698312767519</v>
      </c>
      <c r="V78" s="136"/>
      <c r="X78" s="3"/>
    </row>
    <row r="79" spans="1:24" s="1" customFormat="1" ht="15" customHeight="1" x14ac:dyDescent="0.25">
      <c r="B79" s="41"/>
      <c r="C79" s="17" t="str">
        <f>"Change in "&amp;C44</f>
        <v>Change in Other Current Assets</v>
      </c>
      <c r="D79" s="17"/>
      <c r="E79" s="17"/>
      <c r="F79" s="175"/>
      <c r="G79" s="122" t="s">
        <v>94</v>
      </c>
      <c r="H79" s="2"/>
      <c r="I79" s="176"/>
      <c r="J79" s="2"/>
      <c r="K79" s="137"/>
      <c r="L79" s="137"/>
      <c r="M79" s="136"/>
      <c r="N79" s="137">
        <f>N162</f>
        <v>26315</v>
      </c>
      <c r="O79" s="137">
        <f t="shared" si="49"/>
        <v>-1973.625</v>
      </c>
      <c r="P79" s="137">
        <f t="shared" si="49"/>
        <v>-2121.6468750000022</v>
      </c>
      <c r="Q79" s="137">
        <f t="shared" si="49"/>
        <v>-1520.5135937499981</v>
      </c>
      <c r="R79" s="137">
        <f t="shared" si="49"/>
        <v>-1596.5392734375055</v>
      </c>
      <c r="S79" s="137">
        <f t="shared" si="49"/>
        <v>-1676.3662371093742</v>
      </c>
      <c r="T79" s="137"/>
      <c r="U79" s="67">
        <f t="shared" si="46"/>
        <v>17426.30902070312</v>
      </c>
      <c r="V79" s="136"/>
      <c r="X79" s="3"/>
    </row>
    <row r="80" spans="1:24" s="1" customFormat="1" ht="15" customHeight="1" x14ac:dyDescent="0.25">
      <c r="B80" s="41"/>
      <c r="C80" s="17" t="str">
        <f>"Change in "&amp;C53</f>
        <v>Change in Short-Term Provisions</v>
      </c>
      <c r="D80" s="17"/>
      <c r="E80" s="17"/>
      <c r="F80" s="175"/>
      <c r="G80" s="122" t="s">
        <v>94</v>
      </c>
      <c r="H80" s="2"/>
      <c r="I80" s="176"/>
      <c r="J80" s="2"/>
      <c r="K80" s="137"/>
      <c r="L80" s="137"/>
      <c r="M80" s="136"/>
      <c r="N80" s="137">
        <f>-N163</f>
        <v>0</v>
      </c>
      <c r="O80" s="137">
        <f>O163-N163</f>
        <v>0</v>
      </c>
      <c r="P80" s="137">
        <f t="shared" ref="P80:S80" si="50">P163-O163</f>
        <v>0</v>
      </c>
      <c r="Q80" s="137">
        <f t="shared" si="50"/>
        <v>0</v>
      </c>
      <c r="R80" s="137">
        <f t="shared" si="50"/>
        <v>0</v>
      </c>
      <c r="S80" s="137">
        <f t="shared" si="50"/>
        <v>0</v>
      </c>
      <c r="T80" s="137"/>
      <c r="U80" s="67">
        <f t="shared" ref="U80" si="51">SUM(N80:T80)</f>
        <v>0</v>
      </c>
      <c r="V80" s="136"/>
      <c r="X80" s="3"/>
    </row>
    <row r="81" spans="1:24" ht="15" customHeight="1" x14ac:dyDescent="0.25">
      <c r="A81" s="14"/>
      <c r="B81" s="36"/>
      <c r="C81" s="17" t="str">
        <f>"Change in "&amp;C54</f>
        <v>Change in Payables</v>
      </c>
      <c r="D81" s="17"/>
      <c r="E81" s="17"/>
      <c r="F81" s="175"/>
      <c r="G81" s="122" t="s">
        <v>94</v>
      </c>
      <c r="H81" s="17"/>
      <c r="I81" s="175"/>
      <c r="J81" s="17"/>
      <c r="K81" s="125"/>
      <c r="L81" s="125"/>
      <c r="M81" s="127"/>
      <c r="N81" s="125">
        <f>N54</f>
        <v>144191.78082191781</v>
      </c>
      <c r="O81" s="125">
        <f>O54-N54</f>
        <v>29415.123287671246</v>
      </c>
      <c r="P81" s="125">
        <f t="shared" ref="P81:S82" si="52">P54-O54</f>
        <v>13020.517808219156</v>
      </c>
      <c r="Q81" s="125">
        <f t="shared" si="52"/>
        <v>5306.2612276836007</v>
      </c>
      <c r="R81" s="125">
        <f t="shared" si="52"/>
        <v>10148.822149884945</v>
      </c>
      <c r="S81" s="125">
        <f t="shared" si="52"/>
        <v>10104.125264768838</v>
      </c>
      <c r="T81" s="125"/>
      <c r="U81" s="67">
        <f t="shared" si="46"/>
        <v>212186.6305601456</v>
      </c>
      <c r="V81" s="127"/>
    </row>
    <row r="82" spans="1:24" ht="15" customHeight="1" x14ac:dyDescent="0.25">
      <c r="A82" s="14"/>
      <c r="B82" s="36"/>
      <c r="C82" s="17" t="str">
        <f>"Change in "&amp;C55</f>
        <v>Change in Other Current Liabilities</v>
      </c>
      <c r="D82" s="17"/>
      <c r="E82" s="17"/>
      <c r="F82" s="17"/>
      <c r="G82" s="122" t="s">
        <v>94</v>
      </c>
      <c r="H82" s="17"/>
      <c r="I82" s="17"/>
      <c r="J82" s="17"/>
      <c r="K82" s="125"/>
      <c r="L82" s="125"/>
      <c r="M82" s="127"/>
      <c r="N82" s="125">
        <f>N55</f>
        <v>13157.5</v>
      </c>
      <c r="O82" s="125">
        <f>O55-N55</f>
        <v>2684.1300000000028</v>
      </c>
      <c r="P82" s="125">
        <f t="shared" si="52"/>
        <v>1188.1222499999985</v>
      </c>
      <c r="Q82" s="125">
        <f t="shared" si="52"/>
        <v>532.17975781250061</v>
      </c>
      <c r="R82" s="125">
        <f t="shared" si="52"/>
        <v>878.0966003906251</v>
      </c>
      <c r="S82" s="125">
        <f t="shared" si="52"/>
        <v>922.00143041016054</v>
      </c>
      <c r="T82" s="125"/>
      <c r="U82" s="67">
        <f t="shared" si="46"/>
        <v>19362.030038613288</v>
      </c>
      <c r="V82" s="127"/>
    </row>
    <row r="83" spans="1:24" s="1" customFormat="1" ht="15" customHeight="1" x14ac:dyDescent="0.25">
      <c r="B83" s="41"/>
      <c r="C83" s="129" t="str">
        <f>C74</f>
        <v>Cash Flow from Operations</v>
      </c>
      <c r="D83" s="129"/>
      <c r="E83" s="129"/>
      <c r="F83" s="129"/>
      <c r="G83" s="130" t="s">
        <v>94</v>
      </c>
      <c r="H83" s="87"/>
      <c r="I83" s="87"/>
      <c r="J83" s="87"/>
      <c r="K83" s="177"/>
      <c r="L83" s="177"/>
      <c r="M83" s="178"/>
      <c r="N83" s="177">
        <f>SUM(N75:N82)</f>
        <v>1648008.4589041097</v>
      </c>
      <c r="O83" s="177">
        <f t="shared" ref="O83:S83" si="53">SUM(O75:O82)</f>
        <v>841447.14650062227</v>
      </c>
      <c r="P83" s="177">
        <f t="shared" si="53"/>
        <v>900809.7425566623</v>
      </c>
      <c r="Q83" s="177">
        <f t="shared" si="53"/>
        <v>974445.13870407129</v>
      </c>
      <c r="R83" s="177">
        <f t="shared" si="53"/>
        <v>976369.01521182607</v>
      </c>
      <c r="S83" s="177">
        <f t="shared" si="53"/>
        <v>975918.23426885519</v>
      </c>
      <c r="T83" s="177"/>
      <c r="U83" s="134">
        <f>SUM(U75:U82)</f>
        <v>6316997.7361461455</v>
      </c>
      <c r="V83" s="148"/>
      <c r="X83" s="3">
        <f>SUM(O75:S82)-SUM(O83:S83)</f>
        <v>0</v>
      </c>
    </row>
    <row r="84" spans="1:24" s="1" customFormat="1" ht="15" customHeight="1" x14ac:dyDescent="0.25">
      <c r="B84" s="41"/>
      <c r="C84" s="17"/>
      <c r="D84" s="17"/>
      <c r="E84" s="17"/>
      <c r="F84" s="17"/>
      <c r="G84" s="17"/>
      <c r="H84" s="2"/>
      <c r="I84" s="2"/>
      <c r="J84" s="2"/>
      <c r="K84" s="149"/>
      <c r="L84" s="149"/>
      <c r="M84" s="150"/>
      <c r="N84" s="149"/>
      <c r="O84" s="149"/>
      <c r="P84" s="149"/>
      <c r="Q84" s="149"/>
      <c r="R84" s="149"/>
      <c r="S84" s="149"/>
      <c r="T84" s="149"/>
      <c r="U84" s="179"/>
      <c r="V84" s="150"/>
      <c r="X84" s="3"/>
    </row>
    <row r="85" spans="1:24" s="1" customFormat="1" ht="15" customHeight="1" x14ac:dyDescent="0.25">
      <c r="B85" s="41"/>
      <c r="C85" s="42" t="s">
        <v>13</v>
      </c>
      <c r="D85" s="42"/>
      <c r="E85" s="42"/>
      <c r="F85" s="171"/>
      <c r="G85" s="171"/>
      <c r="H85" s="80"/>
      <c r="I85" s="80"/>
      <c r="J85" s="80"/>
      <c r="K85" s="149"/>
      <c r="L85" s="149"/>
      <c r="M85" s="150"/>
      <c r="N85" s="149"/>
      <c r="O85" s="149"/>
      <c r="P85" s="149"/>
      <c r="Q85" s="149"/>
      <c r="R85" s="149"/>
      <c r="S85" s="149"/>
      <c r="T85" s="149"/>
      <c r="U85" s="179"/>
      <c r="V85" s="150"/>
      <c r="X85" s="3"/>
    </row>
    <row r="86" spans="1:24" s="1" customFormat="1" ht="15" customHeight="1" x14ac:dyDescent="0.25">
      <c r="B86" s="41"/>
      <c r="C86" s="17" t="str">
        <f>C47</f>
        <v>Capital Expenditures</v>
      </c>
      <c r="D86" s="17"/>
      <c r="E86" s="17"/>
      <c r="F86" s="17"/>
      <c r="G86" s="122" t="s">
        <v>94</v>
      </c>
      <c r="H86" s="2"/>
      <c r="I86" s="2"/>
      <c r="J86" s="2"/>
      <c r="K86" s="137"/>
      <c r="L86" s="137"/>
      <c r="M86" s="136"/>
      <c r="N86" s="137">
        <f t="shared" ref="N86:S86" si="54">-N176</f>
        <v>-1500000</v>
      </c>
      <c r="O86" s="137">
        <f t="shared" si="54"/>
        <v>0</v>
      </c>
      <c r="P86" s="137">
        <f t="shared" si="54"/>
        <v>0</v>
      </c>
      <c r="Q86" s="137">
        <f t="shared" si="54"/>
        <v>0</v>
      </c>
      <c r="R86" s="137">
        <f t="shared" si="54"/>
        <v>-250000</v>
      </c>
      <c r="S86" s="137">
        <f t="shared" si="54"/>
        <v>0</v>
      </c>
      <c r="T86" s="137"/>
      <c r="U86" s="67">
        <f>SUM(N86:T86)</f>
        <v>-1750000</v>
      </c>
      <c r="V86" s="150"/>
      <c r="X86" s="3"/>
    </row>
    <row r="87" spans="1:24" s="1" customFormat="1" ht="15" customHeight="1" x14ac:dyDescent="0.25">
      <c r="B87" s="41"/>
      <c r="C87" s="129" t="str">
        <f>C85</f>
        <v>Cash Flow from Investments</v>
      </c>
      <c r="D87" s="129"/>
      <c r="E87" s="129"/>
      <c r="F87" s="129"/>
      <c r="G87" s="130" t="s">
        <v>94</v>
      </c>
      <c r="H87" s="87"/>
      <c r="I87" s="87"/>
      <c r="J87" s="87"/>
      <c r="K87" s="177"/>
      <c r="L87" s="177"/>
      <c r="M87" s="178"/>
      <c r="N87" s="177">
        <f t="shared" ref="N87:S87" si="55">SUM(N86:N86)</f>
        <v>-1500000</v>
      </c>
      <c r="O87" s="177">
        <f t="shared" si="55"/>
        <v>0</v>
      </c>
      <c r="P87" s="177">
        <f t="shared" si="55"/>
        <v>0</v>
      </c>
      <c r="Q87" s="177">
        <f t="shared" si="55"/>
        <v>0</v>
      </c>
      <c r="R87" s="177">
        <f t="shared" si="55"/>
        <v>-250000</v>
      </c>
      <c r="S87" s="177">
        <f t="shared" si="55"/>
        <v>0</v>
      </c>
      <c r="T87" s="177"/>
      <c r="U87" s="134">
        <f>SUM(U86:U86)</f>
        <v>-1750000</v>
      </c>
      <c r="V87" s="180"/>
      <c r="X87" s="3"/>
    </row>
    <row r="88" spans="1:24" s="1" customFormat="1" ht="15" customHeight="1" x14ac:dyDescent="0.25">
      <c r="B88" s="41"/>
      <c r="C88" s="17"/>
      <c r="D88" s="17"/>
      <c r="E88" s="17"/>
      <c r="F88" s="17"/>
      <c r="G88" s="17"/>
      <c r="H88" s="2"/>
      <c r="I88" s="2"/>
      <c r="J88" s="2"/>
      <c r="K88" s="149"/>
      <c r="L88" s="149"/>
      <c r="M88" s="150"/>
      <c r="N88" s="149"/>
      <c r="O88" s="149"/>
      <c r="P88" s="149"/>
      <c r="Q88" s="149"/>
      <c r="R88" s="149"/>
      <c r="S88" s="149"/>
      <c r="T88" s="149"/>
      <c r="U88" s="179"/>
      <c r="V88" s="150"/>
      <c r="X88" s="3"/>
    </row>
    <row r="89" spans="1:24" s="1" customFormat="1" ht="15" customHeight="1" x14ac:dyDescent="0.25">
      <c r="B89" s="41"/>
      <c r="C89" s="42" t="s">
        <v>14</v>
      </c>
      <c r="D89" s="42"/>
      <c r="E89" s="42"/>
      <c r="F89" s="171"/>
      <c r="G89" s="171"/>
      <c r="H89" s="80"/>
      <c r="I89" s="80"/>
      <c r="J89" s="80"/>
      <c r="K89" s="149"/>
      <c r="L89" s="149"/>
      <c r="M89" s="150"/>
      <c r="N89" s="149"/>
      <c r="O89" s="149"/>
      <c r="P89" s="149"/>
      <c r="Q89" s="149"/>
      <c r="R89" s="149"/>
      <c r="S89" s="149"/>
      <c r="T89" s="149"/>
      <c r="U89" s="179"/>
      <c r="V89" s="150"/>
      <c r="X89" s="3"/>
    </row>
    <row r="90" spans="1:24" ht="15" customHeight="1" x14ac:dyDescent="0.25">
      <c r="A90" s="14"/>
      <c r="B90" s="36"/>
      <c r="C90" s="17" t="str">
        <f>"Change in "&amp;C58</f>
        <v>Change in Long-Term Provisions</v>
      </c>
      <c r="D90" s="17"/>
      <c r="E90" s="17"/>
      <c r="F90" s="17"/>
      <c r="G90" s="122" t="s">
        <v>94</v>
      </c>
      <c r="H90" s="17"/>
      <c r="I90" s="17"/>
      <c r="J90" s="17"/>
      <c r="K90" s="181"/>
      <c r="L90" s="181"/>
      <c r="M90" s="182"/>
      <c r="N90" s="125">
        <f>-N58</f>
        <v>0</v>
      </c>
      <c r="O90" s="125">
        <f>O58-N58</f>
        <v>0</v>
      </c>
      <c r="P90" s="125">
        <f t="shared" ref="P90:S90" si="56">P58-O58</f>
        <v>0</v>
      </c>
      <c r="Q90" s="125">
        <f t="shared" si="56"/>
        <v>0</v>
      </c>
      <c r="R90" s="125">
        <f t="shared" si="56"/>
        <v>0</v>
      </c>
      <c r="S90" s="125">
        <f t="shared" si="56"/>
        <v>0</v>
      </c>
      <c r="T90" s="123"/>
      <c r="U90" s="67">
        <f t="shared" ref="U90:U92" si="57">SUM(N90:T90)</f>
        <v>0</v>
      </c>
      <c r="V90" s="127"/>
    </row>
    <row r="91" spans="1:24" ht="15" customHeight="1" x14ac:dyDescent="0.25">
      <c r="A91" s="14"/>
      <c r="B91" s="36"/>
      <c r="C91" s="17" t="str">
        <f>"Change in "&amp;C59</f>
        <v>Change in Financial Debt</v>
      </c>
      <c r="D91" s="17"/>
      <c r="E91" s="17"/>
      <c r="F91" s="17"/>
      <c r="G91" s="122" t="s">
        <v>94</v>
      </c>
      <c r="H91" s="17"/>
      <c r="I91" s="17"/>
      <c r="J91" s="17"/>
      <c r="K91" s="123"/>
      <c r="L91" s="123"/>
      <c r="M91" s="124"/>
      <c r="N91" s="123">
        <v>0</v>
      </c>
      <c r="O91" s="123">
        <v>-300000</v>
      </c>
      <c r="P91" s="123">
        <v>-300000</v>
      </c>
      <c r="Q91" s="123">
        <v>-300000</v>
      </c>
      <c r="R91" s="123">
        <v>-300000</v>
      </c>
      <c r="S91" s="123">
        <v>-300000</v>
      </c>
      <c r="T91" s="123"/>
      <c r="U91" s="67">
        <f t="shared" si="57"/>
        <v>-1500000</v>
      </c>
      <c r="V91" s="127"/>
    </row>
    <row r="92" spans="1:24" s="1" customFormat="1" ht="15" customHeight="1" x14ac:dyDescent="0.25">
      <c r="B92" s="41"/>
      <c r="C92" s="139" t="s">
        <v>15</v>
      </c>
      <c r="D92" s="139"/>
      <c r="E92" s="139"/>
      <c r="F92" s="8"/>
      <c r="G92" s="64" t="s">
        <v>94</v>
      </c>
      <c r="H92" s="8"/>
      <c r="I92" s="8"/>
      <c r="J92" s="8"/>
      <c r="K92" s="165"/>
      <c r="L92" s="165"/>
      <c r="M92" s="166"/>
      <c r="N92" s="183">
        <v>-277087.5</v>
      </c>
      <c r="O92" s="183">
        <v>-169747.80340909079</v>
      </c>
      <c r="P92" s="183">
        <v>-190009.35741477265</v>
      </c>
      <c r="Q92" s="183">
        <v>-209300.2579751419</v>
      </c>
      <c r="R92" s="183">
        <v>-210668.65746321721</v>
      </c>
      <c r="S92" s="184">
        <v>-195510.98190807409</v>
      </c>
      <c r="T92" s="184"/>
      <c r="U92" s="67">
        <f t="shared" si="57"/>
        <v>-1252324.5581702967</v>
      </c>
      <c r="V92" s="136"/>
      <c r="X92" s="3"/>
    </row>
    <row r="93" spans="1:24" s="1" customFormat="1" ht="15" customHeight="1" x14ac:dyDescent="0.25">
      <c r="B93" s="41"/>
      <c r="C93" s="16" t="str">
        <f>C89</f>
        <v>Cash Flow from Financing</v>
      </c>
      <c r="D93" s="16"/>
      <c r="E93" s="16"/>
      <c r="F93" s="42"/>
      <c r="G93" s="155" t="s">
        <v>94</v>
      </c>
      <c r="H93" s="44"/>
      <c r="I93" s="44"/>
      <c r="J93" s="44"/>
      <c r="K93" s="185"/>
      <c r="L93" s="185"/>
      <c r="M93" s="180"/>
      <c r="N93" s="185">
        <f t="shared" ref="N93:S93" si="58">SUM(N91:N92)</f>
        <v>-277087.5</v>
      </c>
      <c r="O93" s="185">
        <f t="shared" si="58"/>
        <v>-469747.80340909079</v>
      </c>
      <c r="P93" s="185">
        <f t="shared" si="58"/>
        <v>-490009.35741477262</v>
      </c>
      <c r="Q93" s="185">
        <f t="shared" si="58"/>
        <v>-509300.25797514187</v>
      </c>
      <c r="R93" s="185">
        <f t="shared" si="58"/>
        <v>-510668.65746321721</v>
      </c>
      <c r="S93" s="186">
        <f t="shared" si="58"/>
        <v>-495510.98190807411</v>
      </c>
      <c r="T93" s="186"/>
      <c r="U93" s="187">
        <f>SUM(U91:U92)</f>
        <v>-2752324.5581702967</v>
      </c>
      <c r="V93" s="180"/>
      <c r="X93" s="3">
        <f>SUM(O91:S92)-SUM(O93:S93)</f>
        <v>0</v>
      </c>
    </row>
    <row r="94" spans="1:24" s="1" customFormat="1" ht="15" customHeight="1" x14ac:dyDescent="0.25">
      <c r="B94" s="41"/>
      <c r="C94" s="17"/>
      <c r="D94" s="17"/>
      <c r="E94" s="17"/>
      <c r="F94" s="17"/>
      <c r="G94" s="17"/>
      <c r="H94" s="2"/>
      <c r="I94" s="2"/>
      <c r="J94" s="2"/>
      <c r="K94" s="149"/>
      <c r="L94" s="149"/>
      <c r="M94" s="150"/>
      <c r="N94" s="149"/>
      <c r="O94" s="149"/>
      <c r="P94" s="149"/>
      <c r="Q94" s="149"/>
      <c r="R94" s="149"/>
      <c r="S94" s="149"/>
      <c r="T94" s="149"/>
      <c r="U94" s="179"/>
      <c r="V94" s="150"/>
      <c r="X94" s="3"/>
    </row>
    <row r="95" spans="1:24" s="28" customFormat="1" ht="15" customHeight="1" x14ac:dyDescent="0.25">
      <c r="B95" s="160"/>
      <c r="C95" s="16" t="s">
        <v>16</v>
      </c>
      <c r="D95" s="16"/>
      <c r="E95" s="16"/>
      <c r="F95" s="42"/>
      <c r="G95" s="155" t="s">
        <v>94</v>
      </c>
      <c r="H95" s="44"/>
      <c r="I95" s="44"/>
      <c r="J95" s="44"/>
      <c r="K95" s="185"/>
      <c r="L95" s="185"/>
      <c r="M95" s="180"/>
      <c r="N95" s="185">
        <f t="shared" ref="N95:S95" si="59">N83+N87+N93</f>
        <v>-129079.04109589034</v>
      </c>
      <c r="O95" s="185">
        <f t="shared" si="59"/>
        <v>371699.34309153148</v>
      </c>
      <c r="P95" s="185">
        <f t="shared" si="59"/>
        <v>410800.38514188968</v>
      </c>
      <c r="Q95" s="185">
        <f t="shared" si="59"/>
        <v>465144.88072892942</v>
      </c>
      <c r="R95" s="185">
        <f t="shared" si="59"/>
        <v>215700.35774860886</v>
      </c>
      <c r="S95" s="185">
        <f t="shared" si="59"/>
        <v>480407.25236078107</v>
      </c>
      <c r="T95" s="185"/>
      <c r="U95" s="188">
        <f>U83+U87+U93</f>
        <v>1814673.1779758488</v>
      </c>
      <c r="V95" s="180"/>
      <c r="X95" s="3">
        <f>SUM(O83:S83)+SUM(O87:S87)+SUM(O93:S93)-SUM(O95:S95)</f>
        <v>0</v>
      </c>
    </row>
    <row r="96" spans="1:24" s="1" customFormat="1" ht="15" customHeight="1" x14ac:dyDescent="0.25">
      <c r="B96" s="41"/>
      <c r="C96" s="14"/>
      <c r="D96" s="14"/>
      <c r="E96" s="14"/>
      <c r="F96" s="17"/>
      <c r="G96" s="17"/>
      <c r="H96" s="2"/>
      <c r="I96" s="2"/>
      <c r="J96" s="2"/>
      <c r="K96" s="149"/>
      <c r="L96" s="149"/>
      <c r="M96" s="150"/>
      <c r="N96" s="149"/>
      <c r="O96" s="149"/>
      <c r="P96" s="149"/>
      <c r="Q96" s="149"/>
      <c r="R96" s="149"/>
      <c r="S96" s="149"/>
      <c r="T96" s="149"/>
      <c r="U96" s="179"/>
      <c r="V96" s="150"/>
      <c r="X96" s="3"/>
    </row>
    <row r="97" spans="1:24" s="1" customFormat="1" ht="15" customHeight="1" x14ac:dyDescent="0.25">
      <c r="B97" s="41"/>
      <c r="C97" s="139" t="s">
        <v>17</v>
      </c>
      <c r="D97" s="139"/>
      <c r="E97" s="139"/>
      <c r="F97" s="139"/>
      <c r="G97" s="140" t="s">
        <v>94</v>
      </c>
      <c r="H97" s="8"/>
      <c r="I97" s="8"/>
      <c r="J97" s="8"/>
      <c r="K97" s="165"/>
      <c r="L97" s="165"/>
      <c r="M97" s="166"/>
      <c r="N97" s="165">
        <f>N98-N95</f>
        <v>729079.04109589034</v>
      </c>
      <c r="O97" s="165">
        <f>N98</f>
        <v>600000</v>
      </c>
      <c r="P97" s="165">
        <f>O98</f>
        <v>971699.34309153142</v>
      </c>
      <c r="Q97" s="165">
        <f>P98</f>
        <v>1382499.7282334212</v>
      </c>
      <c r="R97" s="165">
        <f>Q98</f>
        <v>1847644.6089623505</v>
      </c>
      <c r="S97" s="165">
        <f>R98</f>
        <v>2063344.9667109593</v>
      </c>
      <c r="T97" s="165"/>
      <c r="U97" s="189">
        <f>N97</f>
        <v>729079.04109589034</v>
      </c>
      <c r="V97" s="150"/>
      <c r="X97" s="3"/>
    </row>
    <row r="98" spans="1:24" s="1" customFormat="1" ht="15" customHeight="1" x14ac:dyDescent="0.25">
      <c r="B98" s="41"/>
      <c r="C98" s="190" t="s">
        <v>18</v>
      </c>
      <c r="D98" s="190"/>
      <c r="E98" s="190"/>
      <c r="F98" s="143"/>
      <c r="G98" s="144" t="s">
        <v>94</v>
      </c>
      <c r="H98" s="94"/>
      <c r="I98" s="94"/>
      <c r="J98" s="94"/>
      <c r="K98" s="191"/>
      <c r="L98" s="191"/>
      <c r="M98" s="192"/>
      <c r="N98" s="193">
        <v>600000</v>
      </c>
      <c r="O98" s="191">
        <f t="shared" ref="O98:S98" si="60">O95+O97</f>
        <v>971699.34309153142</v>
      </c>
      <c r="P98" s="191">
        <f t="shared" si="60"/>
        <v>1382499.7282334212</v>
      </c>
      <c r="Q98" s="191">
        <f t="shared" si="60"/>
        <v>1847644.6089623505</v>
      </c>
      <c r="R98" s="191">
        <f t="shared" si="60"/>
        <v>2063344.9667109593</v>
      </c>
      <c r="S98" s="191">
        <f t="shared" si="60"/>
        <v>2543752.2190717403</v>
      </c>
      <c r="T98" s="191"/>
      <c r="U98" s="194">
        <f>U95+U97</f>
        <v>2543752.2190717394</v>
      </c>
      <c r="V98" s="180"/>
      <c r="X98" s="3"/>
    </row>
    <row r="99" spans="1:24" s="1" customFormat="1" ht="15" hidden="1" customHeight="1" outlineLevel="1" x14ac:dyDescent="0.25">
      <c r="B99" s="41"/>
      <c r="C99" s="105" t="s">
        <v>19</v>
      </c>
      <c r="D99" s="195"/>
      <c r="E99" s="195"/>
      <c r="F99" s="195"/>
      <c r="G99" s="195"/>
      <c r="H99" s="195"/>
      <c r="I99" s="195"/>
      <c r="J99" s="195"/>
      <c r="K99" s="195"/>
      <c r="L99" s="195"/>
      <c r="M99" s="196"/>
      <c r="N99" s="107">
        <f t="shared" ref="N99:S99" si="61">N41-N98</f>
        <v>0</v>
      </c>
      <c r="O99" s="107">
        <f t="shared" si="61"/>
        <v>0</v>
      </c>
      <c r="P99" s="107">
        <f t="shared" si="61"/>
        <v>0</v>
      </c>
      <c r="Q99" s="107">
        <f t="shared" si="61"/>
        <v>0</v>
      </c>
      <c r="R99" s="107">
        <f t="shared" si="61"/>
        <v>0</v>
      </c>
      <c r="S99" s="107">
        <f t="shared" si="61"/>
        <v>0</v>
      </c>
      <c r="T99" s="107"/>
      <c r="U99" s="197">
        <f>U41-U98</f>
        <v>0</v>
      </c>
      <c r="V99" s="196"/>
      <c r="X99" s="29">
        <f>SUM(J99:S99)</f>
        <v>0</v>
      </c>
    </row>
    <row r="100" spans="1:24" s="1" customFormat="1" ht="15" customHeight="1" collapsed="1" x14ac:dyDescent="0.25">
      <c r="B100" s="112"/>
      <c r="C100" s="198"/>
      <c r="D100" s="198"/>
      <c r="E100" s="198"/>
      <c r="F100" s="198"/>
      <c r="G100" s="198"/>
      <c r="H100" s="198"/>
      <c r="I100" s="198"/>
      <c r="J100" s="198"/>
      <c r="K100" s="199"/>
      <c r="L100" s="199"/>
      <c r="M100" s="200"/>
      <c r="N100" s="199"/>
      <c r="O100" s="199"/>
      <c r="P100" s="199"/>
      <c r="Q100" s="199"/>
      <c r="R100" s="199"/>
      <c r="S100" s="199"/>
      <c r="T100" s="199"/>
      <c r="U100" s="201"/>
      <c r="V100" s="200"/>
      <c r="X100" s="29"/>
    </row>
    <row r="101" spans="1:24" s="1" customFormat="1" ht="15" customHeight="1" x14ac:dyDescent="0.25">
      <c r="X101" s="3"/>
    </row>
    <row r="102" spans="1:24" s="1" customFormat="1" ht="15" customHeight="1" x14ac:dyDescent="0.25">
      <c r="C102" s="2"/>
      <c r="D102" s="2"/>
      <c r="E102" s="2"/>
      <c r="F102" s="2"/>
      <c r="G102" s="2"/>
      <c r="H102" s="2"/>
      <c r="I102" s="2"/>
      <c r="J102" s="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X102" s="29"/>
    </row>
    <row r="103" spans="1:24" s="1" customFormat="1" ht="15" customHeight="1" x14ac:dyDescent="0.25">
      <c r="C103" s="13" t="s">
        <v>20</v>
      </c>
      <c r="D103" s="13"/>
      <c r="E103" s="13"/>
      <c r="F103" s="2"/>
      <c r="G103" s="2"/>
      <c r="H103" s="2"/>
      <c r="I103" s="2"/>
      <c r="J103" s="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X103" s="29"/>
    </row>
    <row r="104" spans="1:24" ht="15" customHeight="1" x14ac:dyDescent="0.25">
      <c r="A104" s="14"/>
      <c r="B104" s="14"/>
      <c r="C104" s="119" t="s">
        <v>85</v>
      </c>
      <c r="D104" s="119"/>
      <c r="E104" s="119"/>
      <c r="F104" s="119"/>
      <c r="G104" s="119"/>
      <c r="H104" s="119"/>
      <c r="I104" s="119"/>
      <c r="J104" s="119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:24" s="28" customFormat="1" ht="15" customHeight="1" x14ac:dyDescent="0.25">
      <c r="A105" s="19">
        <f>MAX(A$1:A104)+1</f>
        <v>4</v>
      </c>
      <c r="B105" s="20"/>
      <c r="C105" s="21" t="str">
        <f>C103</f>
        <v>Financial Ratios</v>
      </c>
      <c r="D105" s="21"/>
      <c r="E105" s="21"/>
      <c r="F105" s="21"/>
      <c r="G105" s="21" t="s">
        <v>2</v>
      </c>
      <c r="H105" s="21"/>
      <c r="I105" s="21"/>
      <c r="J105" s="21"/>
      <c r="K105" s="22">
        <f t="shared" ref="K105:U105" si="62">K$7</f>
        <v>2023</v>
      </c>
      <c r="L105" s="22">
        <f t="shared" si="62"/>
        <v>2024</v>
      </c>
      <c r="M105" s="23">
        <f t="shared" si="62"/>
        <v>2025</v>
      </c>
      <c r="N105" s="24">
        <f t="shared" si="62"/>
        <v>2025</v>
      </c>
      <c r="O105" s="24">
        <f t="shared" si="62"/>
        <v>2026</v>
      </c>
      <c r="P105" s="24">
        <f t="shared" si="62"/>
        <v>2027</v>
      </c>
      <c r="Q105" s="24">
        <f t="shared" si="62"/>
        <v>2028</v>
      </c>
      <c r="R105" s="24">
        <f t="shared" si="62"/>
        <v>2029</v>
      </c>
      <c r="S105" s="24">
        <f t="shared" si="62"/>
        <v>2030</v>
      </c>
      <c r="T105" s="25"/>
      <c r="U105" s="26">
        <f t="shared" si="62"/>
        <v>5</v>
      </c>
      <c r="V105" s="27"/>
      <c r="X105" s="29"/>
    </row>
    <row r="106" spans="1:24" s="2" customFormat="1" ht="15" customHeight="1" x14ac:dyDescent="0.25">
      <c r="A106" s="14"/>
      <c r="B106" s="30"/>
      <c r="C106" s="31" t="str">
        <f>C$8</f>
        <v>Forecast Year</v>
      </c>
      <c r="D106" s="31"/>
      <c r="E106" s="31"/>
      <c r="F106" s="32"/>
      <c r="G106" s="32"/>
      <c r="H106" s="32"/>
      <c r="I106" s="33"/>
      <c r="J106" s="32"/>
      <c r="K106" s="33">
        <f t="shared" ref="K106:U106" si="63">K$8</f>
        <v>-2</v>
      </c>
      <c r="L106" s="33">
        <f t="shared" si="63"/>
        <v>-1</v>
      </c>
      <c r="M106" s="34">
        <f t="shared" si="63"/>
        <v>0</v>
      </c>
      <c r="N106" s="33">
        <f t="shared" si="63"/>
        <v>0</v>
      </c>
      <c r="O106" s="33">
        <f t="shared" si="63"/>
        <v>1</v>
      </c>
      <c r="P106" s="33">
        <f t="shared" si="63"/>
        <v>2</v>
      </c>
      <c r="Q106" s="33">
        <f t="shared" si="63"/>
        <v>3</v>
      </c>
      <c r="R106" s="33">
        <f t="shared" si="63"/>
        <v>4</v>
      </c>
      <c r="S106" s="33">
        <f t="shared" si="63"/>
        <v>5</v>
      </c>
      <c r="T106" s="33"/>
      <c r="U106" s="35">
        <f t="shared" si="63"/>
        <v>5</v>
      </c>
      <c r="V106" s="34"/>
      <c r="X106" s="3"/>
    </row>
    <row r="107" spans="1:24" s="2" customFormat="1" ht="15" customHeight="1" x14ac:dyDescent="0.25">
      <c r="A107" s="14"/>
      <c r="B107" s="30"/>
      <c r="C107" s="31" t="s">
        <v>21</v>
      </c>
      <c r="D107" s="31"/>
      <c r="E107" s="31"/>
      <c r="F107" s="32"/>
      <c r="G107" s="32"/>
      <c r="H107" s="32"/>
      <c r="I107" s="33"/>
      <c r="J107" s="32"/>
      <c r="K107" s="203">
        <f>DATE(K105,12,31)-DATE(K105,1,1)+1</f>
        <v>365</v>
      </c>
      <c r="L107" s="203">
        <f>DATE(L105,12,31)-DATE(L105,1,1)+1</f>
        <v>366</v>
      </c>
      <c r="M107" s="204">
        <f>DATE(M105,12,31)-DATE(M105,1,1)+1</f>
        <v>365</v>
      </c>
      <c r="N107" s="203">
        <f>DATE(N105,12,31)-DATE(N105,1,1)+1</f>
        <v>365</v>
      </c>
      <c r="O107" s="203">
        <f t="shared" ref="O107:S107" si="64">DATE(O105,12,31)-DATE(O105,1,1)+1</f>
        <v>365</v>
      </c>
      <c r="P107" s="203">
        <f t="shared" si="64"/>
        <v>365</v>
      </c>
      <c r="Q107" s="203">
        <f t="shared" si="64"/>
        <v>366</v>
      </c>
      <c r="R107" s="203">
        <f t="shared" si="64"/>
        <v>365</v>
      </c>
      <c r="S107" s="203">
        <f t="shared" si="64"/>
        <v>365</v>
      </c>
      <c r="T107" s="33"/>
      <c r="U107" s="205">
        <f>S107</f>
        <v>365</v>
      </c>
      <c r="V107" s="34"/>
      <c r="X107" s="3"/>
    </row>
    <row r="108" spans="1:24" ht="15" customHeight="1" x14ac:dyDescent="0.25">
      <c r="A108" s="14"/>
      <c r="B108" s="36"/>
      <c r="C108" s="17"/>
      <c r="D108" s="17"/>
      <c r="E108" s="17"/>
      <c r="F108" s="17"/>
      <c r="G108" s="17"/>
      <c r="H108" s="17"/>
      <c r="I108" s="17"/>
      <c r="J108" s="17"/>
      <c r="K108" s="206"/>
      <c r="L108" s="206"/>
      <c r="M108" s="207"/>
      <c r="N108" s="206"/>
      <c r="O108" s="206"/>
      <c r="P108" s="206"/>
      <c r="Q108" s="206"/>
      <c r="R108" s="206"/>
      <c r="S108" s="206"/>
      <c r="T108" s="206"/>
      <c r="U108" s="208"/>
      <c r="V108" s="209"/>
      <c r="W108" s="3"/>
      <c r="X108" s="57"/>
    </row>
    <row r="109" spans="1:24" ht="15" customHeight="1" x14ac:dyDescent="0.25">
      <c r="A109" s="14"/>
      <c r="B109" s="36"/>
      <c r="C109" s="42" t="s">
        <v>22</v>
      </c>
      <c r="D109" s="42"/>
      <c r="E109" s="42"/>
      <c r="F109" s="17"/>
      <c r="G109" s="17"/>
      <c r="H109" s="17"/>
      <c r="I109" s="17"/>
      <c r="J109" s="17"/>
      <c r="K109" s="210"/>
      <c r="L109" s="210"/>
      <c r="M109" s="211"/>
      <c r="N109" s="210"/>
      <c r="O109" s="210"/>
      <c r="P109" s="210"/>
      <c r="Q109" s="210"/>
      <c r="R109" s="210"/>
      <c r="S109" s="210"/>
      <c r="T109" s="210"/>
      <c r="U109" s="212"/>
      <c r="V109" s="209"/>
      <c r="W109" s="3"/>
      <c r="X109" s="57"/>
    </row>
    <row r="110" spans="1:24" ht="15" customHeight="1" x14ac:dyDescent="0.25">
      <c r="A110" s="14"/>
      <c r="B110" s="36"/>
      <c r="C110" s="17" t="s">
        <v>23</v>
      </c>
      <c r="D110" s="17"/>
      <c r="E110" s="17"/>
      <c r="F110" s="175"/>
      <c r="G110" s="17" t="s">
        <v>24</v>
      </c>
      <c r="H110" s="17"/>
      <c r="I110" s="175"/>
      <c r="J110" s="17"/>
      <c r="K110" s="213">
        <f t="shared" ref="K110:S110" si="65">IFERROR(K150/K18,"NA")</f>
        <v>1.1450381679389312</v>
      </c>
      <c r="L110" s="213">
        <f t="shared" si="65"/>
        <v>1.1458333333333333</v>
      </c>
      <c r="M110" s="214">
        <f t="shared" si="65"/>
        <v>2.1739130434782608</v>
      </c>
      <c r="N110" s="213">
        <f t="shared" si="65"/>
        <v>1.5606710885680843</v>
      </c>
      <c r="O110" s="213">
        <f t="shared" si="65"/>
        <v>1.5444931941742217</v>
      </c>
      <c r="P110" s="213">
        <f t="shared" si="65"/>
        <v>1.1831958806259428</v>
      </c>
      <c r="Q110" s="213">
        <f t="shared" si="65"/>
        <v>0.87199621270262972</v>
      </c>
      <c r="R110" s="213">
        <f t="shared" si="65"/>
        <v>0.63489284864315199</v>
      </c>
      <c r="S110" s="213">
        <f t="shared" si="65"/>
        <v>0.40479677790260704</v>
      </c>
      <c r="T110" s="213"/>
      <c r="U110" s="215">
        <f>IFERROR(U150/U18,"NA")</f>
        <v>6.8286076197114132E-2</v>
      </c>
      <c r="V110" s="209"/>
      <c r="W110" s="3"/>
      <c r="X110" s="57"/>
    </row>
    <row r="111" spans="1:24" s="1" customFormat="1" ht="15" customHeight="1" x14ac:dyDescent="0.25">
      <c r="B111" s="41"/>
      <c r="C111" s="2" t="s">
        <v>25</v>
      </c>
      <c r="D111" s="2"/>
      <c r="E111" s="2"/>
      <c r="F111" s="176"/>
      <c r="G111" s="2" t="s">
        <v>24</v>
      </c>
      <c r="H111" s="2"/>
      <c r="I111" s="176"/>
      <c r="J111" s="2"/>
      <c r="K111" s="216">
        <f t="shared" ref="K111:S111" si="66">IFERROR(K22/-K26,"NA")</f>
        <v>32.266666666666666</v>
      </c>
      <c r="L111" s="216">
        <f t="shared" si="66"/>
        <v>34.031746031746032</v>
      </c>
      <c r="M111" s="217">
        <f t="shared" si="66"/>
        <v>17.972602739726028</v>
      </c>
      <c r="N111" s="216">
        <f t="shared" si="66"/>
        <v>25.63</v>
      </c>
      <c r="O111" s="216">
        <f t="shared" si="66"/>
        <v>17.31210122850122</v>
      </c>
      <c r="P111" s="216">
        <f t="shared" si="66"/>
        <v>22.793187947214065</v>
      </c>
      <c r="Q111" s="216">
        <f t="shared" si="66"/>
        <v>30.767147800909072</v>
      </c>
      <c r="R111" s="216">
        <f t="shared" si="66"/>
        <v>40.423374496040651</v>
      </c>
      <c r="S111" s="216">
        <f t="shared" si="66"/>
        <v>54.473089068874962</v>
      </c>
      <c r="T111" s="216"/>
      <c r="U111" s="218">
        <f>IFERROR(U22/-U26,"NA")</f>
        <v>27.9861184252185</v>
      </c>
      <c r="V111" s="219"/>
      <c r="W111" s="220"/>
      <c r="X111" s="57"/>
    </row>
    <row r="112" spans="1:24" s="1" customFormat="1" ht="15" customHeight="1" x14ac:dyDescent="0.25">
      <c r="B112" s="41"/>
      <c r="C112" s="2" t="s">
        <v>26</v>
      </c>
      <c r="D112" s="2"/>
      <c r="E112" s="2"/>
      <c r="F112" s="176"/>
      <c r="G112" s="2" t="s">
        <v>24</v>
      </c>
      <c r="H112" s="2"/>
      <c r="I112" s="176"/>
      <c r="J112" s="2"/>
      <c r="K112" s="216">
        <f t="shared" ref="K112:S112" si="67">IFERROR(K31/K59,"NA")</f>
        <v>0.58625000000000005</v>
      </c>
      <c r="L112" s="216">
        <f t="shared" si="67"/>
        <v>0.59119318181818181</v>
      </c>
      <c r="M112" s="217">
        <f t="shared" si="67"/>
        <v>0.29039062500000001</v>
      </c>
      <c r="N112" s="216">
        <f t="shared" si="67"/>
        <v>0.46181250000000001</v>
      </c>
      <c r="O112" s="216">
        <f t="shared" si="67"/>
        <v>0.33283883021390354</v>
      </c>
      <c r="P112" s="216">
        <f t="shared" si="67"/>
        <v>0.45240323193993487</v>
      </c>
      <c r="Q112" s="216">
        <f t="shared" si="67"/>
        <v>0.6342432059852785</v>
      </c>
      <c r="R112" s="216">
        <f t="shared" si="67"/>
        <v>0.87778607276340515</v>
      </c>
      <c r="S112" s="216">
        <f t="shared" si="67"/>
        <v>1.3034065460538273</v>
      </c>
      <c r="T112" s="216"/>
      <c r="U112" s="218">
        <f>IFERROR(U31/U59,"NA")</f>
        <v>8.3488303878019714</v>
      </c>
      <c r="V112" s="219"/>
      <c r="W112" s="220"/>
      <c r="X112" s="57"/>
    </row>
    <row r="113" spans="1:24" s="1" customFormat="1" ht="15" customHeight="1" x14ac:dyDescent="0.25">
      <c r="B113" s="41"/>
      <c r="C113" s="2" t="s">
        <v>27</v>
      </c>
      <c r="D113" s="2"/>
      <c r="E113" s="2"/>
      <c r="F113" s="176"/>
      <c r="G113" s="2" t="s">
        <v>28</v>
      </c>
      <c r="H113" s="2"/>
      <c r="I113" s="176"/>
      <c r="J113" s="2"/>
      <c r="K113" s="202">
        <f t="shared" ref="K113:S113" si="68">IFERROR(K148/K152,"NA")</f>
        <v>0.55882352941176472</v>
      </c>
      <c r="L113" s="202">
        <f t="shared" si="68"/>
        <v>0.56678700361010825</v>
      </c>
      <c r="M113" s="221">
        <f t="shared" si="68"/>
        <v>0.48529411764705882</v>
      </c>
      <c r="N113" s="202">
        <f t="shared" si="68"/>
        <v>0.26689476258177081</v>
      </c>
      <c r="O113" s="202">
        <f t="shared" si="68"/>
        <v>0.55430095581942229</v>
      </c>
      <c r="P113" s="202">
        <f t="shared" si="68"/>
        <v>0.98719447219577572</v>
      </c>
      <c r="Q113" s="202">
        <f t="shared" si="68"/>
        <v>1.6860125977091045</v>
      </c>
      <c r="R113" s="202">
        <f t="shared" si="68"/>
        <v>2.1854593673537503</v>
      </c>
      <c r="S113" s="202">
        <f t="shared" si="68"/>
        <v>3.7562930816831197</v>
      </c>
      <c r="T113" s="202"/>
      <c r="U113" s="222">
        <f t="shared" ref="U113" si="69">IFERROR(U148/U152,"NA")</f>
        <v>3.7562930816831197</v>
      </c>
      <c r="V113" s="219"/>
      <c r="W113" s="220"/>
      <c r="X113" s="57"/>
    </row>
    <row r="114" spans="1:24" s="1" customFormat="1" ht="15" customHeight="1" x14ac:dyDescent="0.25">
      <c r="B114" s="41"/>
      <c r="C114" s="2" t="s">
        <v>29</v>
      </c>
      <c r="D114" s="2"/>
      <c r="E114" s="2"/>
      <c r="F114" s="176"/>
      <c r="G114" s="2" t="s">
        <v>28</v>
      </c>
      <c r="H114" s="2"/>
      <c r="I114" s="176"/>
      <c r="J114" s="2"/>
      <c r="K114" s="202">
        <f t="shared" ref="K114" si="70">SUM(K150:K151)/K148</f>
        <v>0.78947368421052633</v>
      </c>
      <c r="L114" s="202">
        <f t="shared" ref="L114:S114" si="71">SUM(L150:L151)/L148</f>
        <v>0.76433121019108285</v>
      </c>
      <c r="M114" s="221">
        <f t="shared" si="71"/>
        <v>1.0606060606060606</v>
      </c>
      <c r="N114" s="202">
        <f t="shared" ref="N114" si="72">SUM(N150:N151)/N148</f>
        <v>2.7467951424997392</v>
      </c>
      <c r="O114" s="202">
        <f t="shared" si="71"/>
        <v>0.80407410360983711</v>
      </c>
      <c r="P114" s="202">
        <f t="shared" si="71"/>
        <v>1.2971636455521959E-2</v>
      </c>
      <c r="Q114" s="202">
        <f t="shared" si="71"/>
        <v>-0.40688462152728555</v>
      </c>
      <c r="R114" s="202">
        <f t="shared" si="71"/>
        <v>-0.54243029408922683</v>
      </c>
      <c r="S114" s="202">
        <f t="shared" si="71"/>
        <v>-0.73378009163440461</v>
      </c>
      <c r="T114" s="202"/>
      <c r="U114" s="222">
        <f t="shared" ref="U114" si="73">SUM(U150:U151)/U148</f>
        <v>-0.73378009163440461</v>
      </c>
      <c r="V114" s="219"/>
      <c r="W114" s="220"/>
      <c r="X114" s="57"/>
    </row>
    <row r="115" spans="1:24" ht="15" customHeight="1" x14ac:dyDescent="0.25">
      <c r="A115" s="14"/>
      <c r="B115" s="36"/>
      <c r="C115" s="17" t="s">
        <v>115</v>
      </c>
      <c r="D115" s="17"/>
      <c r="E115" s="17"/>
      <c r="F115" s="175"/>
      <c r="G115" s="17" t="s">
        <v>28</v>
      </c>
      <c r="H115" s="17"/>
      <c r="I115" s="175"/>
      <c r="J115" s="17"/>
      <c r="K115" s="206">
        <f>-IFERROR(K26/AVERAGE(J59:K59),0)</f>
        <v>2.5000000000000001E-2</v>
      </c>
      <c r="L115" s="206">
        <f>-IFERROR(L26/AVERAGE(K59:L59),0)</f>
        <v>2.5000000000000001E-2</v>
      </c>
      <c r="M115" s="207">
        <f>-IFERROR(M26/AVERAGE(L59:M59),0)</f>
        <v>2.5000000000000001E-2</v>
      </c>
      <c r="N115" s="223">
        <v>2.5000000000000001E-2</v>
      </c>
      <c r="O115" s="206">
        <f>N115</f>
        <v>2.5000000000000001E-2</v>
      </c>
      <c r="P115" s="206">
        <f t="shared" ref="P115:S115" si="74">O115</f>
        <v>2.5000000000000001E-2</v>
      </c>
      <c r="Q115" s="206">
        <f t="shared" si="74"/>
        <v>2.5000000000000001E-2</v>
      </c>
      <c r="R115" s="206">
        <f t="shared" si="74"/>
        <v>2.5000000000000001E-2</v>
      </c>
      <c r="S115" s="206">
        <f t="shared" si="74"/>
        <v>2.5000000000000001E-2</v>
      </c>
      <c r="T115" s="206"/>
      <c r="U115" s="208"/>
      <c r="V115" s="209"/>
      <c r="W115" s="3"/>
      <c r="X115" s="57"/>
    </row>
    <row r="116" spans="1:24" s="1" customFormat="1" ht="15" customHeight="1" x14ac:dyDescent="0.25">
      <c r="B116" s="41"/>
      <c r="C116" s="2"/>
      <c r="D116" s="2"/>
      <c r="E116" s="2"/>
      <c r="F116" s="2"/>
      <c r="G116" s="2"/>
      <c r="H116" s="2"/>
      <c r="I116" s="2"/>
      <c r="J116" s="2"/>
      <c r="K116" s="202"/>
      <c r="L116" s="202"/>
      <c r="M116" s="221"/>
      <c r="N116" s="202"/>
      <c r="O116" s="202"/>
      <c r="P116" s="202"/>
      <c r="Q116" s="202"/>
      <c r="R116" s="202"/>
      <c r="S116" s="202"/>
      <c r="T116" s="202"/>
      <c r="U116" s="222"/>
      <c r="V116" s="219"/>
      <c r="W116" s="220"/>
      <c r="X116" s="57"/>
    </row>
    <row r="117" spans="1:24" s="1" customFormat="1" ht="15" customHeight="1" x14ac:dyDescent="0.25">
      <c r="B117" s="41"/>
      <c r="C117" s="44" t="s">
        <v>30</v>
      </c>
      <c r="D117" s="44"/>
      <c r="E117" s="44"/>
      <c r="F117" s="2"/>
      <c r="G117" s="2"/>
      <c r="H117" s="2"/>
      <c r="I117" s="2"/>
      <c r="J117" s="2"/>
      <c r="K117" s="202"/>
      <c r="L117" s="202"/>
      <c r="M117" s="221"/>
      <c r="N117" s="202"/>
      <c r="O117" s="202"/>
      <c r="P117" s="202"/>
      <c r="Q117" s="202"/>
      <c r="R117" s="202"/>
      <c r="S117" s="202"/>
      <c r="T117" s="202"/>
      <c r="U117" s="222"/>
      <c r="V117" s="219"/>
      <c r="W117" s="220"/>
      <c r="X117" s="57"/>
    </row>
    <row r="118" spans="1:24" s="1" customFormat="1" ht="15" customHeight="1" x14ac:dyDescent="0.25">
      <c r="B118" s="41"/>
      <c r="C118" s="2" t="s">
        <v>31</v>
      </c>
      <c r="D118" s="2"/>
      <c r="E118" s="2"/>
      <c r="F118" s="176"/>
      <c r="G118" s="2" t="s">
        <v>24</v>
      </c>
      <c r="H118" s="2"/>
      <c r="I118" s="176"/>
      <c r="J118" s="2"/>
      <c r="K118" s="216">
        <f t="shared" ref="K118:S118" si="75">IFERROR(K41/SUM(K$54:K$55),"NA")</f>
        <v>1.1111111111111112</v>
      </c>
      <c r="L118" s="216">
        <f t="shared" si="75"/>
        <v>1.2162162162162162</v>
      </c>
      <c r="M118" s="217">
        <f t="shared" si="75"/>
        <v>1.7142857142857142</v>
      </c>
      <c r="N118" s="216">
        <f t="shared" si="75"/>
        <v>3.8131728144284192</v>
      </c>
      <c r="O118" s="216">
        <f t="shared" si="75"/>
        <v>5.1290940183756648</v>
      </c>
      <c r="P118" s="216">
        <f t="shared" si="75"/>
        <v>6.788367431113806</v>
      </c>
      <c r="Q118" s="216">
        <f t="shared" si="75"/>
        <v>8.8194906017974866</v>
      </c>
      <c r="R118" s="216">
        <f t="shared" si="75"/>
        <v>9.3566173496497438</v>
      </c>
      <c r="S118" s="216">
        <f t="shared" si="75"/>
        <v>10.985821349576725</v>
      </c>
      <c r="T118" s="216"/>
      <c r="U118" s="218">
        <f>IFERROR(U41/SUM(U$54:U$55),"NA")</f>
        <v>10.985821349576725</v>
      </c>
      <c r="V118" s="219"/>
      <c r="W118" s="224"/>
      <c r="X118" s="57"/>
    </row>
    <row r="119" spans="1:24" s="1" customFormat="1" ht="15" customHeight="1" x14ac:dyDescent="0.25">
      <c r="B119" s="41"/>
      <c r="C119" s="2" t="s">
        <v>32</v>
      </c>
      <c r="D119" s="2"/>
      <c r="E119" s="2"/>
      <c r="F119" s="176"/>
      <c r="G119" s="2" t="s">
        <v>24</v>
      </c>
      <c r="H119" s="2"/>
      <c r="I119" s="176"/>
      <c r="J119" s="2"/>
      <c r="K119" s="216">
        <f t="shared" ref="K119:S119" si="76">IFERROR(SUM(K41:K42)/SUM(K$54:K$55),"NA")</f>
        <v>3.3333333333333335</v>
      </c>
      <c r="L119" s="216">
        <f t="shared" si="76"/>
        <v>2.7027027027027026</v>
      </c>
      <c r="M119" s="217">
        <f t="shared" si="76"/>
        <v>3</v>
      </c>
      <c r="N119" s="216">
        <f t="shared" si="76"/>
        <v>6.5623137078992091</v>
      </c>
      <c r="O119" s="216">
        <f t="shared" si="76"/>
        <v>7.5836841018317278</v>
      </c>
      <c r="P119" s="216">
        <f t="shared" si="76"/>
        <v>9.2429575145698699</v>
      </c>
      <c r="Q119" s="216">
        <f t="shared" si="76"/>
        <v>11.318137168240664</v>
      </c>
      <c r="R119" s="216">
        <f t="shared" si="76"/>
        <v>11.855836343714097</v>
      </c>
      <c r="S119" s="216">
        <f t="shared" si="76"/>
        <v>13.485040343641078</v>
      </c>
      <c r="T119" s="216"/>
      <c r="U119" s="218">
        <f>IFERROR(SUM(U41:U42)/SUM(U$54:U$55),"NA")</f>
        <v>13.485040343641078</v>
      </c>
      <c r="V119" s="219"/>
      <c r="W119" s="220"/>
      <c r="X119" s="57"/>
    </row>
    <row r="120" spans="1:24" s="1" customFormat="1" ht="15" customHeight="1" x14ac:dyDescent="0.25">
      <c r="B120" s="41"/>
      <c r="C120" s="2" t="s">
        <v>33</v>
      </c>
      <c r="D120" s="2"/>
      <c r="E120" s="2"/>
      <c r="F120" s="176"/>
      <c r="G120" s="2" t="s">
        <v>24</v>
      </c>
      <c r="H120" s="2"/>
      <c r="I120" s="176"/>
      <c r="J120" s="2"/>
      <c r="K120" s="216">
        <f>IFERROR(SUM(K41:K44)/K56,"NA")</f>
        <v>5.1481481481481479</v>
      </c>
      <c r="L120" s="216">
        <f t="shared" ref="L120:U120" si="77">IFERROR(SUM(L41:L44)/L56,"NA")</f>
        <v>4.2972972972972974</v>
      </c>
      <c r="M120" s="217">
        <f t="shared" si="77"/>
        <v>4.0571428571428569</v>
      </c>
      <c r="N120" s="216">
        <f t="shared" si="77"/>
        <v>7.4168383356197136</v>
      </c>
      <c r="O120" s="216">
        <f t="shared" si="77"/>
        <v>8.4202902219430023</v>
      </c>
      <c r="P120" s="216">
        <f t="shared" si="77"/>
        <v>10.079563634681145</v>
      </c>
      <c r="Q120" s="216">
        <f t="shared" si="77"/>
        <v>12.157682414565574</v>
      </c>
      <c r="R120" s="216">
        <f t="shared" si="77"/>
        <v>12.695157389220707</v>
      </c>
      <c r="S120" s="216">
        <f t="shared" si="77"/>
        <v>14.32436138914769</v>
      </c>
      <c r="T120" s="216"/>
      <c r="U120" s="218">
        <f t="shared" si="77"/>
        <v>14.32436138914769</v>
      </c>
      <c r="V120" s="219"/>
      <c r="W120" s="220"/>
      <c r="X120" s="57"/>
    </row>
    <row r="121" spans="1:24" s="1" customFormat="1" ht="15" customHeight="1" x14ac:dyDescent="0.25">
      <c r="B121" s="41"/>
      <c r="C121" s="2"/>
      <c r="D121" s="2"/>
      <c r="E121" s="2"/>
      <c r="F121" s="2"/>
      <c r="G121" s="2"/>
      <c r="H121" s="2"/>
      <c r="I121" s="2"/>
      <c r="J121" s="2"/>
      <c r="K121" s="202"/>
      <c r="L121" s="202"/>
      <c r="M121" s="221"/>
      <c r="N121" s="202"/>
      <c r="O121" s="202"/>
      <c r="P121" s="202"/>
      <c r="Q121" s="202"/>
      <c r="R121" s="202"/>
      <c r="S121" s="202"/>
      <c r="T121" s="202"/>
      <c r="U121" s="222"/>
      <c r="V121" s="219"/>
      <c r="W121" s="220"/>
      <c r="X121" s="57"/>
    </row>
    <row r="122" spans="1:24" s="1" customFormat="1" ht="15" customHeight="1" x14ac:dyDescent="0.25">
      <c r="B122" s="41"/>
      <c r="C122" s="44" t="s">
        <v>34</v>
      </c>
      <c r="D122" s="44"/>
      <c r="E122" s="44"/>
      <c r="F122" s="2"/>
      <c r="G122" s="2"/>
      <c r="H122" s="2"/>
      <c r="I122" s="2"/>
      <c r="J122" s="2"/>
      <c r="K122" s="202"/>
      <c r="L122" s="202"/>
      <c r="M122" s="221"/>
      <c r="N122" s="202"/>
      <c r="O122" s="202"/>
      <c r="P122" s="202"/>
      <c r="Q122" s="202"/>
      <c r="R122" s="202"/>
      <c r="S122" s="202"/>
      <c r="T122" s="202"/>
      <c r="U122" s="222"/>
      <c r="V122" s="219"/>
      <c r="W122" s="220"/>
      <c r="X122" s="57"/>
    </row>
    <row r="123" spans="1:24" s="1" customFormat="1" ht="15" customHeight="1" x14ac:dyDescent="0.25">
      <c r="A123" s="14"/>
      <c r="B123" s="36"/>
      <c r="C123" s="2" t="s">
        <v>35</v>
      </c>
      <c r="D123" s="2"/>
      <c r="E123" s="2"/>
      <c r="F123" s="176"/>
      <c r="G123" s="2" t="s">
        <v>4</v>
      </c>
      <c r="H123" s="2"/>
      <c r="I123" s="176"/>
      <c r="J123" s="2"/>
      <c r="K123" s="202" t="str">
        <f>IFERROR(K10/J10-1,"NA")</f>
        <v>NA</v>
      </c>
      <c r="L123" s="202">
        <f>IFERROR(L10/K10-1,"NA")</f>
        <v>5.555555555555558E-2</v>
      </c>
      <c r="M123" s="221">
        <f>IFERROR(M10/L10-1,"NA")</f>
        <v>5.2631578947368363E-2</v>
      </c>
      <c r="N123" s="202">
        <f>IFERROR(N10/L10-1,"NA")</f>
        <v>0.1080000000000001</v>
      </c>
      <c r="O123" s="202">
        <f>IFERROR(O10/M10-1,"NA")</f>
        <v>0.13154500000000002</v>
      </c>
      <c r="P123" s="202">
        <f>IFERROR(P10/O10-1,"NA")</f>
        <v>7.4999999999999956E-2</v>
      </c>
      <c r="Q123" s="202">
        <f>IFERROR(Q10/P10-1,"NA")</f>
        <v>5.0000000000000044E-2</v>
      </c>
      <c r="R123" s="202">
        <f>IFERROR(R10/Q10-1,"NA")</f>
        <v>5.0000000000000044E-2</v>
      </c>
      <c r="S123" s="202">
        <f>IFERROR(S10/R10-1,"NA")</f>
        <v>5.0000000000000044E-2</v>
      </c>
      <c r="T123" s="202"/>
      <c r="U123" s="222">
        <f>IFERROR((O10/P10)^(1/$U$7-$O$8)-1,"NA")</f>
        <v>5.9562968525572746E-2</v>
      </c>
      <c r="V123" s="219"/>
      <c r="W123" s="220"/>
      <c r="X123" s="57"/>
    </row>
    <row r="124" spans="1:24" s="1" customFormat="1" ht="15" customHeight="1" x14ac:dyDescent="0.25">
      <c r="B124" s="41"/>
      <c r="C124" s="2" t="s">
        <v>36</v>
      </c>
      <c r="D124" s="2"/>
      <c r="E124" s="2"/>
      <c r="F124" s="176"/>
      <c r="G124" s="2" t="s">
        <v>4</v>
      </c>
      <c r="H124" s="2"/>
      <c r="I124" s="176"/>
      <c r="J124" s="2"/>
      <c r="K124" s="202" t="str">
        <f>IFERROR(K14/J14-1,"NA")</f>
        <v>NA</v>
      </c>
      <c r="L124" s="202">
        <f>IFERROR(L14/K14-1,"NA")</f>
        <v>-2.0000000000000018E-2</v>
      </c>
      <c r="M124" s="221">
        <f>IFERROR(M14/L14-1,"NA")</f>
        <v>2.0408163265306145E-2</v>
      </c>
      <c r="N124" s="202">
        <f>IFERROR(N14/L14-1,"NA")</f>
        <v>7.4081632653061114E-2</v>
      </c>
      <c r="O124" s="202">
        <f>IFERROR(O14/M14-1,"NA")</f>
        <v>-4.2404000000001441E-3</v>
      </c>
      <c r="P124" s="202">
        <f>IFERROR(P14/O14-1,"NA")</f>
        <v>7.5000000000000178E-2</v>
      </c>
      <c r="Q124" s="202">
        <f>IFERROR(Q14/P14-1,"NA")</f>
        <v>7.3863636363636243E-2</v>
      </c>
      <c r="R124" s="202">
        <f>IFERROR(R14/Q14-1,"NA")</f>
        <v>5.0000000000000266E-2</v>
      </c>
      <c r="S124" s="202">
        <f>IFERROR(S14/R14-1,"NA")</f>
        <v>5.0000000000000044E-2</v>
      </c>
      <c r="T124" s="202"/>
      <c r="U124" s="222">
        <f>IFERROR((O14/P14)^(1/$U$7-$O$8)-1,"NA")</f>
        <v>5.9562968525572746E-2</v>
      </c>
      <c r="V124" s="219"/>
      <c r="W124" s="220"/>
      <c r="X124" s="57"/>
    </row>
    <row r="125" spans="1:24" s="1" customFormat="1" ht="15" customHeight="1" x14ac:dyDescent="0.25">
      <c r="B125" s="41"/>
      <c r="C125" s="2" t="s">
        <v>37</v>
      </c>
      <c r="D125" s="2"/>
      <c r="E125" s="2"/>
      <c r="F125" s="176"/>
      <c r="G125" s="2" t="s">
        <v>4</v>
      </c>
      <c r="H125" s="2"/>
      <c r="I125" s="176"/>
      <c r="J125" s="2"/>
      <c r="K125" s="202" t="str">
        <f>IFERROR(K18/J18-1,"NA")</f>
        <v>NA</v>
      </c>
      <c r="L125" s="202">
        <f>IFERROR(L18/K18-1,"NA")</f>
        <v>9.92366412213741E-2</v>
      </c>
      <c r="M125" s="221">
        <f>IFERROR(M18/L18-1,"NA")</f>
        <v>-0.36111111111111116</v>
      </c>
      <c r="N125" s="202">
        <f>IFERROR(N18/L18-1,"NA")</f>
        <v>-0.11006944444444444</v>
      </c>
      <c r="O125" s="202">
        <f>IFERROR(O18/M18-1,"NA")</f>
        <v>0.19639639328063208</v>
      </c>
      <c r="P125" s="202">
        <f>IFERROR(P18/O18-1,"NA")</f>
        <v>7.4999999999999956E-2</v>
      </c>
      <c r="Q125" s="202">
        <f>IFERROR(Q18/P18-1,"NA")</f>
        <v>6.6121495327102764E-2</v>
      </c>
      <c r="R125" s="202">
        <f>IFERROR(R18/Q18-1,"NA")</f>
        <v>-1.1242603550294383E-3</v>
      </c>
      <c r="S125" s="202">
        <f>IFERROR(S18/R18-1,"NA")</f>
        <v>-1.9735205260351996E-2</v>
      </c>
      <c r="T125" s="202"/>
      <c r="U125" s="222">
        <f>IFERROR((O18/P18)^(1/$U$7-$O$8)-1,"NA")</f>
        <v>5.9562968525572746E-2</v>
      </c>
      <c r="V125" s="219"/>
      <c r="W125" s="220"/>
      <c r="X125" s="57"/>
    </row>
    <row r="126" spans="1:24" s="1" customFormat="1" ht="15" customHeight="1" x14ac:dyDescent="0.25">
      <c r="B126" s="41"/>
      <c r="C126" s="2" t="s">
        <v>38</v>
      </c>
      <c r="D126" s="2"/>
      <c r="E126" s="2"/>
      <c r="F126" s="176"/>
      <c r="G126" s="2" t="s">
        <v>4</v>
      </c>
      <c r="H126" s="2"/>
      <c r="I126" s="176"/>
      <c r="J126" s="2"/>
      <c r="K126" s="202" t="str">
        <f>IFERROR(K22/J22-1,"NA")</f>
        <v>NA</v>
      </c>
      <c r="L126" s="202">
        <f>IFERROR(L22/K22-1,"NA")</f>
        <v>0.10743801652892571</v>
      </c>
      <c r="M126" s="221">
        <f>IFERROR(M22/L22-1,"NA")</f>
        <v>-0.38805970149253732</v>
      </c>
      <c r="N126" s="202">
        <f>IFERROR(N22/L22-1,"NA")</f>
        <v>-4.3656716417910468E-2</v>
      </c>
      <c r="O126" s="202">
        <f>IFERROR(O22/M22-1,"NA")</f>
        <v>-2.3555266075388492E-2</v>
      </c>
      <c r="P126" s="202">
        <f>IFERROR(P22/O22-1,"NA")</f>
        <v>0.10310094973830064</v>
      </c>
      <c r="Q126" s="202">
        <f>IFERROR(Q22/P22-1,"NA")</f>
        <v>8.85803261016751E-2</v>
      </c>
      <c r="R126" s="202">
        <f>IFERROR(R22/Q22-1,"NA")</f>
        <v>-1.4750533332451576E-3</v>
      </c>
      <c r="S126" s="202">
        <f>IFERROR(S22/R22-1,"NA")</f>
        <v>-7.7982444402002971E-2</v>
      </c>
      <c r="T126" s="202"/>
      <c r="U126" s="222">
        <f>IFERROR((O22/P22)^(1/$U$7-$O$8)-1,"NA")</f>
        <v>8.1663579252580609E-2</v>
      </c>
      <c r="V126" s="219"/>
      <c r="W126" s="220"/>
      <c r="X126" s="57"/>
    </row>
    <row r="127" spans="1:24" s="1" customFormat="1" ht="15" customHeight="1" x14ac:dyDescent="0.25">
      <c r="B127" s="41"/>
      <c r="C127" s="2" t="s">
        <v>39</v>
      </c>
      <c r="D127" s="2"/>
      <c r="E127" s="2"/>
      <c r="F127" s="176"/>
      <c r="G127" s="2" t="s">
        <v>4</v>
      </c>
      <c r="H127" s="2"/>
      <c r="I127" s="176"/>
      <c r="J127" s="2"/>
      <c r="K127" s="202" t="str">
        <f>IFERROR(K31/J31-1,"NA")</f>
        <v>NA</v>
      </c>
      <c r="L127" s="202">
        <f>IFERROR(L31/K31-1,"NA")</f>
        <v>0.10927505330490406</v>
      </c>
      <c r="M127" s="221">
        <f>IFERROR(M31/L31-1,"NA")</f>
        <v>-0.4046131667467564</v>
      </c>
      <c r="N127" s="202">
        <f>IFERROR(N31/L31-1,"NA")</f>
        <v>-5.314752522825561E-2</v>
      </c>
      <c r="O127" s="202">
        <f>IFERROR(O31/M31-1,"NA")</f>
        <v>-2.5750209112921585E-2</v>
      </c>
      <c r="P127" s="202">
        <f>IFERROR(P31/O31-1,"NA")</f>
        <v>0.11936268746200884</v>
      </c>
      <c r="Q127" s="202">
        <f>IFERROR(Q31/P31-1,"NA")</f>
        <v>0.10152605546820004</v>
      </c>
      <c r="R127" s="202">
        <f>IFERROR(R31/Q31-1,"NA")</f>
        <v>6.537973251030671E-3</v>
      </c>
      <c r="S127" s="202">
        <f>IFERROR(S31/R31-1,"NA")</f>
        <v>-7.1950311629956909E-2</v>
      </c>
      <c r="T127" s="202"/>
      <c r="U127" s="222">
        <f>IFERROR((O31/P31)^(1/$U$7-$O$8)-1,"NA")</f>
        <v>9.4401452873055458E-2</v>
      </c>
      <c r="V127" s="219"/>
      <c r="W127" s="220"/>
      <c r="X127" s="57"/>
    </row>
    <row r="128" spans="1:24" s="1" customFormat="1" ht="15" customHeight="1" x14ac:dyDescent="0.25">
      <c r="B128" s="41"/>
      <c r="C128" s="2" t="s">
        <v>40</v>
      </c>
      <c r="D128" s="2"/>
      <c r="E128" s="2"/>
      <c r="F128" s="176"/>
      <c r="G128" s="2" t="s">
        <v>4</v>
      </c>
      <c r="H128" s="2"/>
      <c r="I128" s="176"/>
      <c r="J128" s="2"/>
      <c r="K128" s="202" t="str">
        <f>IFERROR(K50/J50-1,"NA")</f>
        <v>NA</v>
      </c>
      <c r="L128" s="202">
        <f>IFERROR(L50/K50-1,"NA")</f>
        <v>9.1185410334346573E-2</v>
      </c>
      <c r="M128" s="221">
        <f>IFERROR(M50/L50-1,"NA")</f>
        <v>2.2284122562674202E-2</v>
      </c>
      <c r="N128" s="202">
        <f>IFERROR(N50/L50-1,"NA")</f>
        <v>-0.25709354370969584</v>
      </c>
      <c r="O128" s="202">
        <f>IFERROR(O50/M50-1,"NA")</f>
        <v>-0.23836195113776348</v>
      </c>
      <c r="P128" s="202">
        <f>IFERROR(P50/O50-1,"NA")</f>
        <v>5.6369186913316494E-2</v>
      </c>
      <c r="Q128" s="202">
        <f>IFERROR(Q50/P50-1,"NA")</f>
        <v>6.5770565050001339E-2</v>
      </c>
      <c r="R128" s="202">
        <f>IFERROR(R50/Q50-1,"NA")</f>
        <v>6.437506595603204E-2</v>
      </c>
      <c r="S128" s="202">
        <f>IFERROR(S50/R50-1,"NA")</f>
        <v>4.9922379258053429E-2</v>
      </c>
      <c r="T128" s="202"/>
      <c r="U128" s="222">
        <f>IFERROR((O50/P50)^(1/$U$7-$O$8)-1,"NA")</f>
        <v>4.484671077525948E-2</v>
      </c>
      <c r="V128" s="219"/>
      <c r="W128" s="220"/>
      <c r="X128" s="57"/>
    </row>
    <row r="129" spans="2:24" s="1" customFormat="1" ht="15" customHeight="1" x14ac:dyDescent="0.25">
      <c r="B129" s="41"/>
      <c r="C129" s="2" t="s">
        <v>41</v>
      </c>
      <c r="D129" s="2"/>
      <c r="E129" s="2"/>
      <c r="F129" s="176"/>
      <c r="G129" s="2" t="s">
        <v>4</v>
      </c>
      <c r="H129" s="2"/>
      <c r="I129" s="176"/>
      <c r="J129" s="2"/>
      <c r="K129" s="202" t="str">
        <f>IFERROR(K62/J62-1,"NA")</f>
        <v>NA</v>
      </c>
      <c r="L129" s="202">
        <f>IFERROR(L62/K62-1,"NA")</f>
        <v>3.289473684210531E-2</v>
      </c>
      <c r="M129" s="221">
        <f>IFERROR(M62/L62-1,"NA")</f>
        <v>-0.15923566878980888</v>
      </c>
      <c r="N129" s="202">
        <f>IFERROR(N62/L62-1,"NA")</f>
        <v>-0.67535993805078065</v>
      </c>
      <c r="O129" s="202">
        <f>IFERROR(O62/M62-1,"NA")</f>
        <v>-0.31381582938271246</v>
      </c>
      <c r="P129" s="202">
        <f>IFERROR(P62/O62-1,"NA")</f>
        <v>0.48948247587981153</v>
      </c>
      <c r="Q129" s="202">
        <f>IFERROR(Q62/P62-1,"NA")</f>
        <v>0.36198995933685918</v>
      </c>
      <c r="R129" s="202">
        <f>IFERROR(R62/Q62-1,"NA")</f>
        <v>0.26751786054689242</v>
      </c>
      <c r="S129" s="202">
        <f>IFERROR(S62/R62-1,"NA")</f>
        <v>0.19587090236885785</v>
      </c>
      <c r="T129" s="202"/>
      <c r="U129" s="222">
        <f>IFERROR((O62/P62)^(1/$U$7-$O$8)-1,"NA")</f>
        <v>0.37539777803757368</v>
      </c>
      <c r="V129" s="219"/>
      <c r="W129" s="220"/>
      <c r="X129" s="57"/>
    </row>
    <row r="130" spans="2:24" s="1" customFormat="1" ht="15" customHeight="1" x14ac:dyDescent="0.25">
      <c r="B130" s="41"/>
      <c r="C130" s="2"/>
      <c r="D130" s="2"/>
      <c r="E130" s="2"/>
      <c r="F130" s="2"/>
      <c r="G130" s="2"/>
      <c r="H130" s="2"/>
      <c r="I130" s="2"/>
      <c r="J130" s="2"/>
      <c r="K130" s="202"/>
      <c r="L130" s="202"/>
      <c r="M130" s="221"/>
      <c r="N130" s="202"/>
      <c r="O130" s="202"/>
      <c r="P130" s="202"/>
      <c r="Q130" s="202"/>
      <c r="R130" s="202"/>
      <c r="S130" s="202"/>
      <c r="T130" s="202"/>
      <c r="U130" s="222"/>
      <c r="V130" s="219"/>
      <c r="W130" s="220"/>
      <c r="X130" s="57"/>
    </row>
    <row r="131" spans="2:24" s="1" customFormat="1" ht="15" customHeight="1" x14ac:dyDescent="0.25">
      <c r="B131" s="41"/>
      <c r="C131" s="44" t="s">
        <v>42</v>
      </c>
      <c r="D131" s="44"/>
      <c r="E131" s="44"/>
      <c r="F131" s="2"/>
      <c r="G131" s="2"/>
      <c r="H131" s="2"/>
      <c r="I131" s="2"/>
      <c r="J131" s="2"/>
      <c r="K131" s="202"/>
      <c r="L131" s="202"/>
      <c r="M131" s="221"/>
      <c r="N131" s="202"/>
      <c r="O131" s="202"/>
      <c r="P131" s="202"/>
      <c r="Q131" s="202"/>
      <c r="R131" s="202"/>
      <c r="S131" s="202"/>
      <c r="T131" s="202"/>
      <c r="U131" s="222"/>
      <c r="V131" s="219"/>
      <c r="W131" s="220"/>
      <c r="X131" s="57"/>
    </row>
    <row r="132" spans="2:24" s="1" customFormat="1" ht="15" customHeight="1" x14ac:dyDescent="0.25">
      <c r="B132" s="41"/>
      <c r="C132" s="2" t="s">
        <v>43</v>
      </c>
      <c r="D132" s="2"/>
      <c r="E132" s="2"/>
      <c r="F132" s="176"/>
      <c r="G132" s="225" t="s">
        <v>94</v>
      </c>
      <c r="H132" s="225"/>
      <c r="I132" s="176"/>
      <c r="J132" s="225"/>
      <c r="K132" s="226">
        <v>0</v>
      </c>
      <c r="L132" s="226">
        <v>0</v>
      </c>
      <c r="M132" s="227">
        <v>0</v>
      </c>
      <c r="N132" s="226">
        <v>0</v>
      </c>
      <c r="O132" s="226">
        <v>600513.511363636</v>
      </c>
      <c r="P132" s="226">
        <v>662427.0247159088</v>
      </c>
      <c r="Q132" s="226">
        <v>721105.02658380638</v>
      </c>
      <c r="R132" s="226">
        <v>720041.35821072408</v>
      </c>
      <c r="S132" s="226">
        <v>663890.77302691364</v>
      </c>
      <c r="T132" s="226"/>
      <c r="U132" s="228"/>
      <c r="V132" s="219"/>
      <c r="W132" s="220"/>
      <c r="X132" s="57"/>
    </row>
    <row r="133" spans="2:24" s="1" customFormat="1" ht="15" customHeight="1" x14ac:dyDescent="0.25">
      <c r="B133" s="41"/>
      <c r="C133" s="2" t="s">
        <v>44</v>
      </c>
      <c r="D133" s="2"/>
      <c r="E133" s="2"/>
      <c r="F133" s="176"/>
      <c r="G133" s="225" t="s">
        <v>45</v>
      </c>
      <c r="H133" s="225"/>
      <c r="I133" s="176"/>
      <c r="J133" s="225"/>
      <c r="K133" s="216">
        <f>IFERROR(K10/AVERAGE(J152:K152),0)</f>
        <v>1.6544117647058822</v>
      </c>
      <c r="L133" s="216">
        <f>IFERROR(L10/AVERAGE(K152:L152),0)</f>
        <v>1.7304189435336976</v>
      </c>
      <c r="M133" s="217">
        <f>IFERROR(M10/AVERAGE(L152:M152),0)</f>
        <v>1.8214936247723132</v>
      </c>
      <c r="N133" s="216">
        <f>IFERROR(N10/AVERAGE(L152:N152),0)</f>
        <v>2.1337395063735567</v>
      </c>
      <c r="O133" s="216">
        <f>IFERROR(O10/AVERAGE(M152:O152),0)</f>
        <v>2.7097471375344728</v>
      </c>
      <c r="P133" s="216">
        <f>IFERROR(P10/AVERAGE(O152:P152),0)</f>
        <v>4.0537809430982419</v>
      </c>
      <c r="Q133" s="216">
        <f>IFERROR(Q10/AVERAGE(P152:Q152),0)</f>
        <v>5.1994809236524331</v>
      </c>
      <c r="R133" s="216">
        <f>IFERROR(R10/AVERAGE(Q152:R152),0)</f>
        <v>6.2216053863914871</v>
      </c>
      <c r="S133" s="216">
        <f>IFERROR(S10/AVERAGE(R152:S152),0)</f>
        <v>7.7919327626729791</v>
      </c>
      <c r="T133" s="216"/>
      <c r="U133" s="218"/>
      <c r="V133" s="219"/>
      <c r="W133" s="220"/>
      <c r="X133" s="57"/>
    </row>
    <row r="134" spans="2:24" s="1" customFormat="1" ht="15" customHeight="1" x14ac:dyDescent="0.25">
      <c r="B134" s="41"/>
      <c r="C134" s="17" t="s">
        <v>46</v>
      </c>
      <c r="D134" s="2"/>
      <c r="E134" s="2"/>
      <c r="F134" s="176"/>
      <c r="G134" s="2" t="s">
        <v>4</v>
      </c>
      <c r="H134" s="2"/>
      <c r="I134" s="176"/>
      <c r="J134" s="2"/>
      <c r="K134" s="202">
        <f>IFERROR(K132/AVERAGE(J152:K152),"NA")</f>
        <v>0</v>
      </c>
      <c r="L134" s="202">
        <f>IFERROR(L132/AVERAGE(K152:L152),"NA")</f>
        <v>0</v>
      </c>
      <c r="M134" s="221">
        <f>IFERROR(M132/AVERAGE(L152:M152),"NA")</f>
        <v>0</v>
      </c>
      <c r="N134" s="202">
        <f>IFERROR(N132/AVERAGE(L152:N152),"NA")</f>
        <v>0</v>
      </c>
      <c r="O134" s="202">
        <f>IFERROR(O132/AVERAGE(M152:O152),"NA")</f>
        <v>0.28761379679436305</v>
      </c>
      <c r="P134" s="202">
        <f>IFERROR(P132/AVERAGE(O152:P152),"NA")</f>
        <v>0.44151759971508298</v>
      </c>
      <c r="Q134" s="202">
        <f>IFERROR(Q132/AVERAGE(P152:Q152),"NA")</f>
        <v>0.58710923872226928</v>
      </c>
      <c r="R134" s="202">
        <f>IFERROR(R132/AVERAGE(Q152:R152),"NA")</f>
        <v>0.66808390277431307</v>
      </c>
      <c r="S134" s="202">
        <f>IFERROR(S132/AVERAGE(R152:S152),"NA")</f>
        <v>0.73472299654983764</v>
      </c>
      <c r="T134" s="202"/>
      <c r="U134" s="222"/>
      <c r="V134" s="219"/>
      <c r="W134" s="220"/>
      <c r="X134" s="57"/>
    </row>
    <row r="135" spans="2:24" s="1" customFormat="1" ht="15" customHeight="1" x14ac:dyDescent="0.25">
      <c r="B135" s="41"/>
      <c r="C135" s="2" t="s">
        <v>47</v>
      </c>
      <c r="D135" s="2"/>
      <c r="E135" s="2"/>
      <c r="F135" s="176"/>
      <c r="G135" s="2" t="s">
        <v>4</v>
      </c>
      <c r="H135" s="2"/>
      <c r="I135" s="176"/>
      <c r="J135" s="2"/>
      <c r="K135" s="202">
        <f>IFERROR((K31-K26)/AVERAGE(J50:K50),"NA")</f>
        <v>0.27868541033434652</v>
      </c>
      <c r="L135" s="202">
        <f>IFERROR((L31-L26)/AVERAGE(K50:L50),"NA")</f>
        <v>0.29501271802325579</v>
      </c>
      <c r="M135" s="221">
        <f>IFERROR((M31-M26)/AVERAGE(L50:M50),"NA")</f>
        <v>0.17256370523415979</v>
      </c>
      <c r="N135" s="202">
        <f>IFERROR((N31-N26)/AVERAGE(L50:N50),"NA")</f>
        <v>0.29423440552355234</v>
      </c>
      <c r="O135" s="202">
        <f>IFERROR((O31-O26)/AVERAGE(M50:O50),"NA")</f>
        <v>0.20107080676594896</v>
      </c>
      <c r="P135" s="202">
        <f>IFERROR((P31-P26)/AVERAGE(O50:P50),"NA")</f>
        <v>0.23386083324786136</v>
      </c>
      <c r="Q135" s="202">
        <f>IFERROR((Q31-Q26)/AVERAGE(P50:Q50),"NA")</f>
        <v>0.23899888930974272</v>
      </c>
      <c r="R135" s="202">
        <f>IFERROR((R31-R26)/AVERAGE(Q50:R50),"NA")</f>
        <v>0.22349675494772125</v>
      </c>
      <c r="S135" s="202">
        <f>IFERROR((S31-S26)/AVERAGE(R50:S50),"NA")</f>
        <v>0.1945583285475391</v>
      </c>
      <c r="T135" s="202"/>
      <c r="U135" s="222"/>
      <c r="V135" s="219"/>
      <c r="W135" s="220"/>
      <c r="X135" s="57"/>
    </row>
    <row r="136" spans="2:24" s="1" customFormat="1" ht="15" customHeight="1" x14ac:dyDescent="0.25">
      <c r="B136" s="41"/>
      <c r="C136" s="2" t="s">
        <v>48</v>
      </c>
      <c r="D136" s="2"/>
      <c r="E136" s="2"/>
      <c r="F136" s="176"/>
      <c r="G136" s="2" t="s">
        <v>4</v>
      </c>
      <c r="H136" s="2"/>
      <c r="I136" s="176"/>
      <c r="J136" s="2"/>
      <c r="K136" s="202">
        <f>IFERROR(K31/AVERAGE(J62:K62),"NA")</f>
        <v>0.57853618421052633</v>
      </c>
      <c r="L136" s="202">
        <f>IFERROR(L31/AVERAGE(K62:L62),"NA")</f>
        <v>0.63137135922330101</v>
      </c>
      <c r="M136" s="221">
        <f>IFERROR(M31/AVERAGE(L62:M62),"NA")</f>
        <v>0.40192474048442905</v>
      </c>
      <c r="N136" s="202">
        <f>IFERROR(N31/AVERAGE(L62:N62),"NA")</f>
        <v>0.81503877086755383</v>
      </c>
      <c r="O136" s="202">
        <f>IFERROR(O31/AVERAGE(M62:O62),"NA")</f>
        <v>0.62054845588546825</v>
      </c>
      <c r="P136" s="202">
        <f>IFERROR(P31/AVERAGE(O62:P62),"NA")</f>
        <v>0.56177192376594298</v>
      </c>
      <c r="Q136" s="202">
        <f>IFERROR(Q31/AVERAGE(P62:Q62),"NA")</f>
        <v>0.4378752850275085</v>
      </c>
      <c r="R136" s="202">
        <f>IFERROR(R31/AVERAGE(Q62:R62),"NA")</f>
        <v>0.33708080439787369</v>
      </c>
      <c r="S136" s="202">
        <f>IFERROR(S31/AVERAGE(R62:S62),"NA")</f>
        <v>0.25485612520371315</v>
      </c>
      <c r="T136" s="202"/>
      <c r="U136" s="222"/>
      <c r="V136" s="219"/>
      <c r="W136" s="220"/>
      <c r="X136" s="57"/>
    </row>
    <row r="137" spans="2:24" s="1" customFormat="1" ht="15" customHeight="1" x14ac:dyDescent="0.25">
      <c r="B137" s="41"/>
      <c r="C137" s="2"/>
      <c r="D137" s="2"/>
      <c r="E137" s="2"/>
      <c r="F137" s="176"/>
      <c r="G137" s="2"/>
      <c r="H137" s="2"/>
      <c r="I137" s="176"/>
      <c r="J137" s="2"/>
      <c r="K137" s="202"/>
      <c r="L137" s="202"/>
      <c r="M137" s="221"/>
      <c r="N137" s="202"/>
      <c r="O137" s="202"/>
      <c r="P137" s="202"/>
      <c r="Q137" s="202"/>
      <c r="R137" s="202"/>
      <c r="S137" s="202"/>
      <c r="T137" s="202"/>
      <c r="U137" s="222"/>
      <c r="V137" s="219"/>
      <c r="W137" s="220"/>
      <c r="X137" s="57"/>
    </row>
    <row r="138" spans="2:24" s="1" customFormat="1" ht="15" customHeight="1" x14ac:dyDescent="0.25">
      <c r="B138" s="41"/>
      <c r="C138" s="2" t="s">
        <v>49</v>
      </c>
      <c r="D138" s="2"/>
      <c r="E138" s="2"/>
      <c r="F138" s="176"/>
      <c r="G138" s="2" t="s">
        <v>24</v>
      </c>
      <c r="H138" s="2"/>
      <c r="I138" s="176"/>
      <c r="J138" s="2"/>
      <c r="K138" s="216">
        <f t="shared" ref="K138:S138" si="78">IFERROR(K10/K50,"NA")</f>
        <v>1.3677811550151975</v>
      </c>
      <c r="L138" s="216">
        <f t="shared" si="78"/>
        <v>1.3231197771587744</v>
      </c>
      <c r="M138" s="217">
        <f t="shared" si="78"/>
        <v>1.3623978201634876</v>
      </c>
      <c r="N138" s="216">
        <f t="shared" si="78"/>
        <v>1.9733530388367624</v>
      </c>
      <c r="O138" s="216">
        <f t="shared" si="78"/>
        <v>2.0240775046885005</v>
      </c>
      <c r="P138" s="216">
        <f t="shared" si="78"/>
        <v>2.0597754501889747</v>
      </c>
      <c r="Q138" s="216">
        <f t="shared" si="78"/>
        <v>2.0292962609611536</v>
      </c>
      <c r="R138" s="216">
        <f t="shared" si="78"/>
        <v>2.001889317179129</v>
      </c>
      <c r="S138" s="216">
        <f t="shared" si="78"/>
        <v>2.0020373168190684</v>
      </c>
      <c r="T138" s="216"/>
      <c r="U138" s="218">
        <f>IFERROR(U10/U50,"NA")</f>
        <v>10.559394938776213</v>
      </c>
      <c r="V138" s="219"/>
      <c r="W138" s="220"/>
      <c r="X138" s="57"/>
    </row>
    <row r="139" spans="2:24" s="1" customFormat="1" ht="15" customHeight="1" x14ac:dyDescent="0.25">
      <c r="B139" s="41"/>
      <c r="C139" s="2"/>
      <c r="D139" s="2"/>
      <c r="E139" s="2"/>
      <c r="F139" s="225"/>
      <c r="G139" s="225"/>
      <c r="H139" s="225"/>
      <c r="I139" s="225"/>
      <c r="J139" s="225"/>
      <c r="K139" s="149"/>
      <c r="L139" s="149"/>
      <c r="M139" s="150"/>
      <c r="N139" s="149"/>
      <c r="O139" s="149"/>
      <c r="P139" s="149"/>
      <c r="Q139" s="149"/>
      <c r="R139" s="149"/>
      <c r="S139" s="149"/>
      <c r="T139" s="149"/>
      <c r="U139" s="151"/>
      <c r="V139" s="219"/>
      <c r="W139" s="220"/>
      <c r="X139" s="57"/>
    </row>
    <row r="140" spans="2:24" s="1" customFormat="1" ht="15" customHeight="1" x14ac:dyDescent="0.25">
      <c r="B140" s="41"/>
      <c r="C140" s="44" t="s">
        <v>50</v>
      </c>
      <c r="D140" s="44"/>
      <c r="E140" s="44"/>
      <c r="F140" s="225"/>
      <c r="G140" s="225"/>
      <c r="H140" s="225"/>
      <c r="I140" s="225"/>
      <c r="J140" s="225"/>
      <c r="K140" s="149"/>
      <c r="L140" s="149"/>
      <c r="M140" s="150"/>
      <c r="N140" s="149"/>
      <c r="O140" s="149"/>
      <c r="P140" s="149"/>
      <c r="Q140" s="149"/>
      <c r="R140" s="149"/>
      <c r="S140" s="149"/>
      <c r="T140" s="149"/>
      <c r="U140" s="151"/>
      <c r="V140" s="219"/>
      <c r="W140" s="220"/>
      <c r="X140" s="57"/>
    </row>
    <row r="141" spans="2:24" s="1" customFormat="1" ht="15" customHeight="1" x14ac:dyDescent="0.25">
      <c r="B141" s="41"/>
      <c r="C141" s="2" t="s">
        <v>100</v>
      </c>
      <c r="D141" s="2"/>
      <c r="E141" s="2"/>
      <c r="F141" s="2"/>
      <c r="G141" s="2" t="s">
        <v>117</v>
      </c>
      <c r="H141" s="2"/>
      <c r="I141" s="2"/>
      <c r="J141" s="2"/>
      <c r="K141" s="172">
        <f>IFERROR(K42/K10*K$107,0)</f>
        <v>48.666666666666664</v>
      </c>
      <c r="L141" s="172">
        <f>IFERROR(L42/L10*L$107,0)</f>
        <v>42.378947368421052</v>
      </c>
      <c r="M141" s="173">
        <f>IFERROR(M160/M10*M$107,0)</f>
        <v>32.85</v>
      </c>
      <c r="N141" s="229">
        <v>30</v>
      </c>
      <c r="O141" s="172">
        <f>N141</f>
        <v>30</v>
      </c>
      <c r="P141" s="172">
        <f t="shared" ref="P141:S143" si="79">O141</f>
        <v>30</v>
      </c>
      <c r="Q141" s="172">
        <f t="shared" si="79"/>
        <v>30</v>
      </c>
      <c r="R141" s="172">
        <f t="shared" si="79"/>
        <v>30</v>
      </c>
      <c r="S141" s="172">
        <f t="shared" si="79"/>
        <v>30</v>
      </c>
      <c r="T141" s="172"/>
      <c r="U141" s="174"/>
      <c r="V141" s="219"/>
      <c r="W141" s="220"/>
      <c r="X141" s="57"/>
    </row>
    <row r="142" spans="2:24" s="1" customFormat="1" ht="15" customHeight="1" x14ac:dyDescent="0.25">
      <c r="B142" s="41"/>
      <c r="C142" s="2" t="s">
        <v>101</v>
      </c>
      <c r="D142" s="2"/>
      <c r="E142" s="2"/>
      <c r="F142" s="2"/>
      <c r="G142" s="2" t="s">
        <v>118</v>
      </c>
      <c r="H142" s="2"/>
      <c r="I142" s="2"/>
      <c r="J142" s="2"/>
      <c r="K142" s="172">
        <f>IFERROR(K161/-K$13*K$107,0)</f>
        <v>82.125</v>
      </c>
      <c r="L142" s="172">
        <f>IFERROR(L161/-L$13*L$107,0)</f>
        <v>87.521739130434781</v>
      </c>
      <c r="M142" s="173">
        <f>IFERROR(M161/-M$13*M$107,0)</f>
        <v>51.1</v>
      </c>
      <c r="N142" s="229">
        <v>15</v>
      </c>
      <c r="O142" s="172">
        <f>N142</f>
        <v>15</v>
      </c>
      <c r="P142" s="172">
        <f t="shared" si="79"/>
        <v>15</v>
      </c>
      <c r="Q142" s="172">
        <f t="shared" si="79"/>
        <v>15</v>
      </c>
      <c r="R142" s="172">
        <f t="shared" si="79"/>
        <v>15</v>
      </c>
      <c r="S142" s="172">
        <f t="shared" si="79"/>
        <v>15</v>
      </c>
      <c r="T142" s="172"/>
      <c r="U142" s="174"/>
      <c r="V142" s="219"/>
      <c r="W142" s="220"/>
      <c r="X142" s="57"/>
    </row>
    <row r="143" spans="2:24" s="1" customFormat="1" ht="15" customHeight="1" x14ac:dyDescent="0.25">
      <c r="B143" s="41"/>
      <c r="C143" s="2" t="s">
        <v>107</v>
      </c>
      <c r="D143" s="2"/>
      <c r="E143" s="2"/>
      <c r="F143" s="2"/>
      <c r="G143" s="2" t="s">
        <v>118</v>
      </c>
      <c r="H143" s="2"/>
      <c r="I143" s="2"/>
      <c r="J143" s="2"/>
      <c r="K143" s="172">
        <f>IFERROR(K164/K$13*K$107,0)</f>
        <v>41.975000000000001</v>
      </c>
      <c r="L143" s="172">
        <f>IFERROR(L164/L$13*L$107,0)</f>
        <v>52.513043478260869</v>
      </c>
      <c r="M143" s="173">
        <f>IFERROR(M164/M$13*M$107,0)</f>
        <v>49.64</v>
      </c>
      <c r="N143" s="229">
        <v>20</v>
      </c>
      <c r="O143" s="172">
        <f>N143</f>
        <v>20</v>
      </c>
      <c r="P143" s="172">
        <f t="shared" si="79"/>
        <v>20</v>
      </c>
      <c r="Q143" s="172">
        <f t="shared" si="79"/>
        <v>20</v>
      </c>
      <c r="R143" s="172">
        <f t="shared" si="79"/>
        <v>20</v>
      </c>
      <c r="S143" s="172">
        <f t="shared" si="79"/>
        <v>20</v>
      </c>
      <c r="T143" s="172"/>
      <c r="U143" s="174"/>
      <c r="V143" s="219"/>
      <c r="W143" s="220"/>
      <c r="X143" s="57"/>
    </row>
    <row r="144" spans="2:24" s="1" customFormat="1" ht="15" customHeight="1" x14ac:dyDescent="0.25">
      <c r="B144" s="41"/>
      <c r="C144" s="230" t="s">
        <v>51</v>
      </c>
      <c r="D144" s="230"/>
      <c r="E144" s="230"/>
      <c r="F144" s="230"/>
      <c r="G144" s="230" t="s">
        <v>52</v>
      </c>
      <c r="H144" s="230"/>
      <c r="I144" s="230"/>
      <c r="J144" s="230"/>
      <c r="K144" s="231">
        <f>SUM(K141:K142)-K143</f>
        <v>88.816666666666663</v>
      </c>
      <c r="L144" s="231">
        <f t="shared" ref="L144:S144" si="80">SUM(L141:L142)-L143</f>
        <v>77.387643020594965</v>
      </c>
      <c r="M144" s="232">
        <f t="shared" si="80"/>
        <v>34.31</v>
      </c>
      <c r="N144" s="231">
        <f t="shared" si="80"/>
        <v>25</v>
      </c>
      <c r="O144" s="231">
        <f t="shared" si="80"/>
        <v>25</v>
      </c>
      <c r="P144" s="231">
        <f t="shared" si="80"/>
        <v>25</v>
      </c>
      <c r="Q144" s="231">
        <f t="shared" si="80"/>
        <v>25</v>
      </c>
      <c r="R144" s="231">
        <f t="shared" si="80"/>
        <v>25</v>
      </c>
      <c r="S144" s="231">
        <f t="shared" si="80"/>
        <v>25</v>
      </c>
      <c r="T144" s="231"/>
      <c r="U144" s="233"/>
      <c r="V144" s="219"/>
      <c r="W144" s="220"/>
      <c r="X144" s="57"/>
    </row>
    <row r="145" spans="1:24" s="1" customFormat="1" ht="15" customHeight="1" x14ac:dyDescent="0.25">
      <c r="B145" s="41"/>
      <c r="C145" s="2" t="s">
        <v>116</v>
      </c>
      <c r="D145" s="2"/>
      <c r="E145" s="2"/>
      <c r="F145" s="2"/>
      <c r="G145" s="2" t="s">
        <v>4</v>
      </c>
      <c r="H145" s="2"/>
      <c r="I145" s="2"/>
      <c r="J145" s="2"/>
      <c r="K145" s="202">
        <f>-IFERROR(K30/K27,0)</f>
        <v>0.25</v>
      </c>
      <c r="L145" s="202">
        <f>-IFERROR(L30/L27,0)</f>
        <v>0.25</v>
      </c>
      <c r="M145" s="221">
        <f>-IFERROR(M30/M27,0)</f>
        <v>0.25</v>
      </c>
      <c r="N145" s="234">
        <v>0.25</v>
      </c>
      <c r="O145" s="202">
        <f>M145</f>
        <v>0.25</v>
      </c>
      <c r="P145" s="202">
        <f t="shared" ref="P145:S145" si="81">O145</f>
        <v>0.25</v>
      </c>
      <c r="Q145" s="202">
        <f t="shared" si="81"/>
        <v>0.25</v>
      </c>
      <c r="R145" s="202">
        <f t="shared" si="81"/>
        <v>0.25</v>
      </c>
      <c r="S145" s="202">
        <f t="shared" si="81"/>
        <v>0.25</v>
      </c>
      <c r="T145" s="202"/>
      <c r="U145" s="222">
        <f>R145</f>
        <v>0.25</v>
      </c>
      <c r="V145" s="219"/>
      <c r="W145" s="220"/>
      <c r="X145" s="57"/>
    </row>
    <row r="146" spans="1:24" ht="15" customHeight="1" x14ac:dyDescent="0.25">
      <c r="A146" s="14"/>
      <c r="B146" s="36"/>
      <c r="C146" s="17"/>
      <c r="D146" s="17"/>
      <c r="E146" s="17"/>
      <c r="F146" s="17"/>
      <c r="G146" s="17"/>
      <c r="H146" s="17"/>
      <c r="I146" s="17"/>
      <c r="J146" s="17"/>
      <c r="K146" s="206"/>
      <c r="L146" s="206"/>
      <c r="M146" s="207"/>
      <c r="N146" s="206"/>
      <c r="O146" s="206"/>
      <c r="P146" s="206"/>
      <c r="Q146" s="206"/>
      <c r="R146" s="206"/>
      <c r="S146" s="206"/>
      <c r="T146" s="206"/>
      <c r="U146" s="208"/>
      <c r="V146" s="209"/>
      <c r="W146" s="3"/>
      <c r="X146" s="57"/>
    </row>
    <row r="147" spans="1:24" s="1" customFormat="1" ht="15" customHeight="1" x14ac:dyDescent="0.25">
      <c r="B147" s="41"/>
      <c r="C147" s="44" t="s">
        <v>53</v>
      </c>
      <c r="D147" s="44"/>
      <c r="E147" s="44"/>
      <c r="F147" s="235"/>
      <c r="G147" s="235"/>
      <c r="H147" s="235"/>
      <c r="I147" s="235"/>
      <c r="J147" s="235"/>
      <c r="K147" s="235"/>
      <c r="L147" s="235"/>
      <c r="M147" s="236"/>
      <c r="N147" s="235"/>
      <c r="O147" s="235"/>
      <c r="P147" s="235"/>
      <c r="Q147" s="235"/>
      <c r="R147" s="235"/>
      <c r="S147" s="235"/>
      <c r="T147" s="235"/>
      <c r="U147" s="237"/>
      <c r="V147" s="219"/>
      <c r="W147" s="238"/>
      <c r="X147" s="57"/>
    </row>
    <row r="148" spans="1:24" s="1" customFormat="1" ht="15" customHeight="1" x14ac:dyDescent="0.25">
      <c r="B148" s="41"/>
      <c r="C148" s="2" t="str">
        <f>C62</f>
        <v>Shareholder's Equity</v>
      </c>
      <c r="D148" s="2"/>
      <c r="E148" s="2"/>
      <c r="F148" s="176"/>
      <c r="G148" s="225" t="s">
        <v>94</v>
      </c>
      <c r="H148" s="225"/>
      <c r="I148" s="176"/>
      <c r="J148" s="225"/>
      <c r="K148" s="86">
        <f>K62</f>
        <v>1520000</v>
      </c>
      <c r="L148" s="86">
        <f t="shared" ref="L148:S148" si="82">L62</f>
        <v>1570000</v>
      </c>
      <c r="M148" s="68">
        <f t="shared" si="82"/>
        <v>1320000</v>
      </c>
      <c r="N148" s="86">
        <f t="shared" si="82"/>
        <v>509684.89726027427</v>
      </c>
      <c r="O148" s="86">
        <f t="shared" si="82"/>
        <v>905763.10521481954</v>
      </c>
      <c r="P148" s="86">
        <f t="shared" si="82"/>
        <v>1349118.2725159556</v>
      </c>
      <c r="Q148" s="86">
        <f t="shared" si="82"/>
        <v>1837485.54112462</v>
      </c>
      <c r="R148" s="86">
        <f t="shared" si="82"/>
        <v>2329045.7418721272</v>
      </c>
      <c r="S148" s="86">
        <f t="shared" si="82"/>
        <v>2785238.0329909665</v>
      </c>
      <c r="T148" s="86"/>
      <c r="U148" s="239">
        <f>U62</f>
        <v>2785238.0329909665</v>
      </c>
      <c r="V148" s="219"/>
      <c r="W148" s="220"/>
      <c r="X148" s="57"/>
    </row>
    <row r="149" spans="1:24" s="1" customFormat="1" ht="15" customHeight="1" x14ac:dyDescent="0.25">
      <c r="B149" s="41"/>
      <c r="C149" s="2" t="str">
        <f>C58</f>
        <v>Long-Term Provisions</v>
      </c>
      <c r="D149" s="2"/>
      <c r="E149" s="2"/>
      <c r="F149" s="176"/>
      <c r="G149" s="225" t="s">
        <v>94</v>
      </c>
      <c r="H149" s="225"/>
      <c r="I149" s="176"/>
      <c r="J149" s="225"/>
      <c r="K149" s="86">
        <f t="shared" ref="K149:S150" si="83">K58</f>
        <v>0</v>
      </c>
      <c r="L149" s="86">
        <f t="shared" si="83"/>
        <v>0</v>
      </c>
      <c r="M149" s="68">
        <f t="shared" si="83"/>
        <v>0</v>
      </c>
      <c r="N149" s="86">
        <f t="shared" si="83"/>
        <v>0</v>
      </c>
      <c r="O149" s="86">
        <f t="shared" si="83"/>
        <v>0</v>
      </c>
      <c r="P149" s="86">
        <f t="shared" si="83"/>
        <v>0</v>
      </c>
      <c r="Q149" s="86">
        <f t="shared" si="83"/>
        <v>0</v>
      </c>
      <c r="R149" s="86">
        <f t="shared" si="83"/>
        <v>0</v>
      </c>
      <c r="S149" s="86">
        <f t="shared" si="83"/>
        <v>0</v>
      </c>
      <c r="T149" s="86"/>
      <c r="U149" s="239">
        <f>U58</f>
        <v>0</v>
      </c>
      <c r="V149" s="219"/>
      <c r="W149" s="220"/>
      <c r="X149" s="57"/>
    </row>
    <row r="150" spans="1:24" s="1" customFormat="1" ht="15" customHeight="1" x14ac:dyDescent="0.25">
      <c r="B150" s="41"/>
      <c r="C150" s="2" t="str">
        <f>C59</f>
        <v>Financial Debt</v>
      </c>
      <c r="D150" s="2"/>
      <c r="E150" s="2"/>
      <c r="F150" s="176"/>
      <c r="G150" s="225" t="s">
        <v>94</v>
      </c>
      <c r="H150" s="225"/>
      <c r="I150" s="176"/>
      <c r="J150" s="225"/>
      <c r="K150" s="86">
        <f t="shared" si="83"/>
        <v>1500000</v>
      </c>
      <c r="L150" s="86">
        <f t="shared" si="83"/>
        <v>1650000</v>
      </c>
      <c r="M150" s="68">
        <f t="shared" si="83"/>
        <v>2000000</v>
      </c>
      <c r="N150" s="86">
        <f t="shared" si="83"/>
        <v>2000000</v>
      </c>
      <c r="O150" s="86">
        <f t="shared" si="83"/>
        <v>1700000</v>
      </c>
      <c r="P150" s="86">
        <f t="shared" si="83"/>
        <v>1400000</v>
      </c>
      <c r="Q150" s="86">
        <f t="shared" si="83"/>
        <v>1100000</v>
      </c>
      <c r="R150" s="86">
        <f t="shared" si="83"/>
        <v>800000</v>
      </c>
      <c r="S150" s="86">
        <f t="shared" si="83"/>
        <v>500000</v>
      </c>
      <c r="T150" s="86"/>
      <c r="U150" s="239">
        <f>U59</f>
        <v>500000</v>
      </c>
      <c r="V150" s="219"/>
      <c r="W150" s="220"/>
      <c r="X150" s="57"/>
    </row>
    <row r="151" spans="1:24" s="1" customFormat="1" ht="15" customHeight="1" x14ac:dyDescent="0.25">
      <c r="B151" s="41"/>
      <c r="C151" s="8" t="s">
        <v>54</v>
      </c>
      <c r="D151" s="8"/>
      <c r="E151" s="8"/>
      <c r="F151" s="240"/>
      <c r="G151" s="241" t="s">
        <v>94</v>
      </c>
      <c r="H151" s="241"/>
      <c r="I151" s="240"/>
      <c r="J151" s="241"/>
      <c r="K151" s="242">
        <f t="shared" ref="K151:S151" si="84">-K41</f>
        <v>-300000</v>
      </c>
      <c r="L151" s="242">
        <f t="shared" si="84"/>
        <v>-450000</v>
      </c>
      <c r="M151" s="243">
        <f t="shared" si="84"/>
        <v>-600000</v>
      </c>
      <c r="N151" s="242">
        <f t="shared" si="84"/>
        <v>-600000</v>
      </c>
      <c r="O151" s="242">
        <f t="shared" si="84"/>
        <v>-971699.34309153142</v>
      </c>
      <c r="P151" s="242">
        <f t="shared" si="84"/>
        <v>-1382499.7282334212</v>
      </c>
      <c r="Q151" s="242">
        <f t="shared" si="84"/>
        <v>-1847644.6089623505</v>
      </c>
      <c r="R151" s="242">
        <f t="shared" si="84"/>
        <v>-2063344.9667109593</v>
      </c>
      <c r="S151" s="242">
        <f t="shared" si="84"/>
        <v>-2543752.2190717403</v>
      </c>
      <c r="T151" s="242"/>
      <c r="U151" s="244">
        <f>-U41</f>
        <v>-2543752.2190717403</v>
      </c>
      <c r="V151" s="219"/>
      <c r="W151" s="220"/>
      <c r="X151" s="57"/>
    </row>
    <row r="152" spans="1:24" s="1" customFormat="1" ht="15" customHeight="1" x14ac:dyDescent="0.25">
      <c r="B152" s="41"/>
      <c r="C152" s="44" t="s">
        <v>55</v>
      </c>
      <c r="D152" s="44"/>
      <c r="E152" s="44"/>
      <c r="F152" s="176"/>
      <c r="G152" s="245" t="s">
        <v>94</v>
      </c>
      <c r="H152" s="245"/>
      <c r="I152" s="176"/>
      <c r="J152" s="245"/>
      <c r="K152" s="70">
        <f t="shared" ref="K152:S152" si="85">SUM(K148:K151)</f>
        <v>2720000</v>
      </c>
      <c r="L152" s="70">
        <f t="shared" si="85"/>
        <v>2770000</v>
      </c>
      <c r="M152" s="48">
        <f t="shared" si="85"/>
        <v>2720000</v>
      </c>
      <c r="N152" s="70">
        <f t="shared" ref="N152" si="86">SUM(N148:N151)</f>
        <v>1909684.8972602743</v>
      </c>
      <c r="O152" s="70">
        <f t="shared" si="85"/>
        <v>1634063.7621232879</v>
      </c>
      <c r="P152" s="70">
        <f t="shared" si="85"/>
        <v>1366618.5442825342</v>
      </c>
      <c r="Q152" s="70">
        <f t="shared" si="85"/>
        <v>1089840.9321622695</v>
      </c>
      <c r="R152" s="70">
        <f t="shared" si="85"/>
        <v>1065700.7751611678</v>
      </c>
      <c r="S152" s="70">
        <f t="shared" si="85"/>
        <v>741485.81391922617</v>
      </c>
      <c r="T152" s="70"/>
      <c r="U152" s="47">
        <f t="shared" ref="U152" si="87">SUM(U148:U151)</f>
        <v>741485.81391922617</v>
      </c>
      <c r="V152" s="219"/>
      <c r="W152" s="220"/>
      <c r="X152" s="57"/>
    </row>
    <row r="153" spans="1:24" s="1" customFormat="1" ht="15" customHeight="1" x14ac:dyDescent="0.25">
      <c r="B153" s="41"/>
      <c r="C153" s="2"/>
      <c r="D153" s="2"/>
      <c r="E153" s="2"/>
      <c r="F153" s="2"/>
      <c r="G153" s="2"/>
      <c r="H153" s="2"/>
      <c r="I153" s="2"/>
      <c r="J153" s="2"/>
      <c r="K153" s="246"/>
      <c r="L153" s="246"/>
      <c r="M153" s="227"/>
      <c r="N153" s="246"/>
      <c r="O153" s="246"/>
      <c r="P153" s="246"/>
      <c r="Q153" s="246"/>
      <c r="R153" s="246"/>
      <c r="S153" s="246"/>
      <c r="T153" s="246"/>
      <c r="U153" s="228"/>
      <c r="V153" s="219"/>
      <c r="W153" s="220"/>
      <c r="X153" s="57"/>
    </row>
    <row r="154" spans="1:24" s="1" customFormat="1" ht="15" customHeight="1" x14ac:dyDescent="0.25">
      <c r="B154" s="41"/>
      <c r="C154" s="2" t="s">
        <v>119</v>
      </c>
      <c r="D154" s="2"/>
      <c r="E154" s="2"/>
      <c r="F154" s="176"/>
      <c r="G154" s="225" t="s">
        <v>94</v>
      </c>
      <c r="H154" s="225"/>
      <c r="I154" s="176"/>
      <c r="J154" s="225"/>
      <c r="K154" s="86">
        <f>SUM(K42:K44)-K56</f>
        <v>820000</v>
      </c>
      <c r="L154" s="86">
        <f t="shared" ref="L154:U154" si="88">SUM(L42:L44)-L56</f>
        <v>770000</v>
      </c>
      <c r="M154" s="68">
        <f t="shared" si="88"/>
        <v>470000</v>
      </c>
      <c r="N154" s="86">
        <f t="shared" si="88"/>
        <v>409684.89726027404</v>
      </c>
      <c r="O154" s="86">
        <f t="shared" si="88"/>
        <v>434063.76212328766</v>
      </c>
      <c r="P154" s="86">
        <f t="shared" si="88"/>
        <v>466618.54428253422</v>
      </c>
      <c r="Q154" s="86">
        <f t="shared" si="88"/>
        <v>489840.9321622696</v>
      </c>
      <c r="R154" s="86">
        <f t="shared" si="88"/>
        <v>515700.77516116761</v>
      </c>
      <c r="S154" s="86">
        <f t="shared" si="88"/>
        <v>541485.81391922617</v>
      </c>
      <c r="T154" s="86"/>
      <c r="U154" s="239">
        <f t="shared" si="88"/>
        <v>541485.81391922617</v>
      </c>
      <c r="V154" s="219"/>
      <c r="W154" s="220"/>
      <c r="X154" s="57"/>
    </row>
    <row r="155" spans="1:24" s="1" customFormat="1" ht="15" customHeight="1" x14ac:dyDescent="0.25">
      <c r="B155" s="41"/>
      <c r="C155" s="8" t="str">
        <f>C48</f>
        <v>Fixed Assets</v>
      </c>
      <c r="D155" s="8"/>
      <c r="E155" s="8"/>
      <c r="F155" s="240"/>
      <c r="G155" s="241" t="s">
        <v>94</v>
      </c>
      <c r="H155" s="241"/>
      <c r="I155" s="240"/>
      <c r="J155" s="241"/>
      <c r="K155" s="242">
        <f t="shared" ref="K155:S155" si="89">K47</f>
        <v>1900000</v>
      </c>
      <c r="L155" s="242">
        <f t="shared" si="89"/>
        <v>2000000</v>
      </c>
      <c r="M155" s="243">
        <f t="shared" si="89"/>
        <v>2250000</v>
      </c>
      <c r="N155" s="242">
        <f t="shared" si="89"/>
        <v>1500000</v>
      </c>
      <c r="O155" s="242">
        <f t="shared" si="89"/>
        <v>1200000</v>
      </c>
      <c r="P155" s="242">
        <f t="shared" si="89"/>
        <v>900000</v>
      </c>
      <c r="Q155" s="242">
        <f t="shared" si="89"/>
        <v>600000</v>
      </c>
      <c r="R155" s="242">
        <f t="shared" si="89"/>
        <v>550000</v>
      </c>
      <c r="S155" s="242">
        <f t="shared" si="89"/>
        <v>200000</v>
      </c>
      <c r="T155" s="242"/>
      <c r="U155" s="244">
        <f>U47</f>
        <v>200000</v>
      </c>
      <c r="V155" s="219"/>
      <c r="W155" s="220"/>
      <c r="X155" s="57"/>
    </row>
    <row r="156" spans="1:24" s="1" customFormat="1" ht="15" customHeight="1" x14ac:dyDescent="0.25">
      <c r="B156" s="41"/>
      <c r="C156" s="94" t="s">
        <v>56</v>
      </c>
      <c r="D156" s="94"/>
      <c r="E156" s="94"/>
      <c r="F156" s="247"/>
      <c r="G156" s="248" t="s">
        <v>94</v>
      </c>
      <c r="H156" s="248"/>
      <c r="I156" s="247"/>
      <c r="J156" s="248"/>
      <c r="K156" s="249">
        <f t="shared" ref="K156:S156" si="90">SUM(K154:K155)</f>
        <v>2720000</v>
      </c>
      <c r="L156" s="249">
        <f t="shared" si="90"/>
        <v>2770000</v>
      </c>
      <c r="M156" s="250">
        <f t="shared" si="90"/>
        <v>2720000</v>
      </c>
      <c r="N156" s="249">
        <f t="shared" ref="N156" si="91">SUM(N154:N155)</f>
        <v>1909684.897260274</v>
      </c>
      <c r="O156" s="249">
        <f t="shared" si="90"/>
        <v>1634063.7621232877</v>
      </c>
      <c r="P156" s="249">
        <f t="shared" si="90"/>
        <v>1366618.5442825342</v>
      </c>
      <c r="Q156" s="249">
        <f t="shared" si="90"/>
        <v>1089840.9321622695</v>
      </c>
      <c r="R156" s="249">
        <f t="shared" si="90"/>
        <v>1065700.7751611676</v>
      </c>
      <c r="S156" s="249">
        <f t="shared" si="90"/>
        <v>741485.81391922617</v>
      </c>
      <c r="T156" s="249"/>
      <c r="U156" s="251">
        <f t="shared" ref="U156" si="92">SUM(U154:U155)</f>
        <v>741485.81391922617</v>
      </c>
      <c r="V156" s="219"/>
      <c r="W156" s="220"/>
      <c r="X156" s="57"/>
    </row>
    <row r="157" spans="1:24" s="111" customFormat="1" ht="15" hidden="1" customHeight="1" outlineLevel="1" x14ac:dyDescent="0.25">
      <c r="A157" s="103"/>
      <c r="B157" s="104"/>
      <c r="C157" s="105" t="s">
        <v>8</v>
      </c>
      <c r="D157" s="106"/>
      <c r="E157" s="106"/>
      <c r="F157" s="106"/>
      <c r="G157" s="106"/>
      <c r="H157" s="106"/>
      <c r="I157" s="106"/>
      <c r="J157" s="106"/>
      <c r="K157" s="107">
        <f>K152-K156</f>
        <v>0</v>
      </c>
      <c r="L157" s="107">
        <f t="shared" ref="L157:U157" si="93">L152-L156</f>
        <v>0</v>
      </c>
      <c r="M157" s="108">
        <f t="shared" si="93"/>
        <v>0</v>
      </c>
      <c r="N157" s="107">
        <f t="shared" si="93"/>
        <v>0</v>
      </c>
      <c r="O157" s="107">
        <f t="shared" si="93"/>
        <v>0</v>
      </c>
      <c r="P157" s="107">
        <f t="shared" si="93"/>
        <v>0</v>
      </c>
      <c r="Q157" s="107">
        <f t="shared" si="93"/>
        <v>0</v>
      </c>
      <c r="R157" s="107">
        <f t="shared" si="93"/>
        <v>0</v>
      </c>
      <c r="S157" s="107">
        <f t="shared" si="93"/>
        <v>0</v>
      </c>
      <c r="T157" s="107"/>
      <c r="U157" s="109">
        <f t="shared" si="93"/>
        <v>0</v>
      </c>
      <c r="V157" s="110"/>
      <c r="X157" s="29">
        <f>SUM(K157:U157)</f>
        <v>0</v>
      </c>
    </row>
    <row r="158" spans="1:24" ht="15" customHeight="1" collapsed="1" x14ac:dyDescent="0.25">
      <c r="A158" s="14"/>
      <c r="B158" s="36"/>
      <c r="C158" s="17"/>
      <c r="D158" s="17"/>
      <c r="E158" s="17"/>
      <c r="F158" s="17"/>
      <c r="G158" s="17"/>
      <c r="H158" s="17"/>
      <c r="I158" s="17"/>
      <c r="J158" s="17"/>
      <c r="K158" s="206"/>
      <c r="L158" s="206"/>
      <c r="M158" s="207"/>
      <c r="N158" s="206"/>
      <c r="O158" s="206"/>
      <c r="P158" s="206"/>
      <c r="Q158" s="206"/>
      <c r="R158" s="206"/>
      <c r="S158" s="206"/>
      <c r="T158" s="206"/>
      <c r="U158" s="208"/>
      <c r="V158" s="209"/>
      <c r="W158" s="3"/>
      <c r="X158" s="57"/>
    </row>
    <row r="159" spans="1:24" s="1" customFormat="1" ht="15" customHeight="1" x14ac:dyDescent="0.25">
      <c r="B159" s="41"/>
      <c r="C159" s="44" t="str">
        <f>C154</f>
        <v>Net Working Capital</v>
      </c>
      <c r="D159" s="44"/>
      <c r="E159" s="44"/>
      <c r="F159" s="235"/>
      <c r="G159" s="235"/>
      <c r="H159" s="235"/>
      <c r="I159" s="235"/>
      <c r="J159" s="235"/>
      <c r="K159" s="235"/>
      <c r="L159" s="235"/>
      <c r="M159" s="236"/>
      <c r="N159" s="235"/>
      <c r="O159" s="235"/>
      <c r="P159" s="235"/>
      <c r="Q159" s="235"/>
      <c r="R159" s="235"/>
      <c r="S159" s="235"/>
      <c r="T159" s="235"/>
      <c r="U159" s="237"/>
      <c r="V159" s="219"/>
      <c r="W159" s="238"/>
      <c r="X159" s="57"/>
    </row>
    <row r="160" spans="1:24" ht="15" customHeight="1" x14ac:dyDescent="0.25">
      <c r="A160" s="14"/>
      <c r="B160" s="36"/>
      <c r="C160" s="17" t="str">
        <f>C42</f>
        <v>Receivables</v>
      </c>
      <c r="D160" s="17"/>
      <c r="E160" s="17"/>
      <c r="F160" s="175"/>
      <c r="G160" s="252" t="s">
        <v>94</v>
      </c>
      <c r="H160" s="252"/>
      <c r="I160" s="175"/>
      <c r="J160" s="252"/>
      <c r="K160" s="128">
        <f t="shared" ref="K160:M162" si="94">K42</f>
        <v>600000</v>
      </c>
      <c r="L160" s="128">
        <f t="shared" si="94"/>
        <v>550000</v>
      </c>
      <c r="M160" s="253">
        <f t="shared" si="94"/>
        <v>450000</v>
      </c>
      <c r="N160" s="128">
        <f>IFERROR(N10*N141/N$107,0)</f>
        <v>432575.34246575343</v>
      </c>
      <c r="O160" s="128">
        <f t="shared" ref="O160:S160" si="95">IFERROR(O10*O141/O$107,0)</f>
        <v>465018.49315068492</v>
      </c>
      <c r="P160" s="128">
        <f t="shared" si="95"/>
        <v>499894.88013698632</v>
      </c>
      <c r="Q160" s="128">
        <f t="shared" si="95"/>
        <v>523455.49948770495</v>
      </c>
      <c r="R160" s="128">
        <f t="shared" si="95"/>
        <v>551134.10535102745</v>
      </c>
      <c r="S160" s="128">
        <f t="shared" si="95"/>
        <v>578690.81061857892</v>
      </c>
      <c r="T160" s="128"/>
      <c r="U160" s="67">
        <f>S160</f>
        <v>578690.81061857892</v>
      </c>
      <c r="V160" s="209"/>
      <c r="W160" s="3"/>
      <c r="X160" s="57">
        <f>U160-U42</f>
        <v>0</v>
      </c>
    </row>
    <row r="161" spans="1:24" ht="15" customHeight="1" x14ac:dyDescent="0.25">
      <c r="A161" s="14"/>
      <c r="B161" s="36"/>
      <c r="C161" s="17" t="str">
        <f>C43</f>
        <v>Inventory</v>
      </c>
      <c r="D161" s="17"/>
      <c r="E161" s="17"/>
      <c r="F161" s="175"/>
      <c r="G161" s="252" t="s">
        <v>94</v>
      </c>
      <c r="H161" s="252"/>
      <c r="I161" s="175"/>
      <c r="J161" s="252"/>
      <c r="K161" s="128">
        <f t="shared" si="94"/>
        <v>450000</v>
      </c>
      <c r="L161" s="128">
        <f t="shared" si="94"/>
        <v>550000</v>
      </c>
      <c r="M161" s="253">
        <f t="shared" si="94"/>
        <v>350000</v>
      </c>
      <c r="N161" s="128">
        <f>IFERROR(-N13*N142/N$107,0)</f>
        <v>108143.83561643836</v>
      </c>
      <c r="O161" s="128">
        <f t="shared" ref="O161:S161" si="96">IFERROR(-O13*O142/O$107,0)</f>
        <v>130205.17808219181</v>
      </c>
      <c r="P161" s="128">
        <f t="shared" si="96"/>
        <v>139970.56643835615</v>
      </c>
      <c r="Q161" s="128">
        <f t="shared" si="96"/>
        <v>143950.26235911887</v>
      </c>
      <c r="R161" s="128">
        <f t="shared" si="96"/>
        <v>151561.87897153257</v>
      </c>
      <c r="S161" s="128">
        <f t="shared" si="96"/>
        <v>159139.9729201092</v>
      </c>
      <c r="T161" s="128"/>
      <c r="U161" s="67">
        <f t="shared" ref="U161:U165" si="97">S161</f>
        <v>159139.9729201092</v>
      </c>
      <c r="V161" s="209"/>
      <c r="W161" s="3"/>
      <c r="X161" s="57">
        <f>U161-U43</f>
        <v>0</v>
      </c>
    </row>
    <row r="162" spans="1:24" ht="15" customHeight="1" x14ac:dyDescent="0.25">
      <c r="A162" s="14"/>
      <c r="B162" s="36"/>
      <c r="C162" s="17" t="str">
        <f>C44</f>
        <v>Other Current Assets</v>
      </c>
      <c r="D162" s="17"/>
      <c r="E162" s="254">
        <v>5.0000000000000001E-3</v>
      </c>
      <c r="F162" s="175"/>
      <c r="G162" s="252" t="s">
        <v>94</v>
      </c>
      <c r="H162" s="252"/>
      <c r="I162" s="175"/>
      <c r="J162" s="252"/>
      <c r="K162" s="128">
        <f t="shared" si="94"/>
        <v>40000</v>
      </c>
      <c r="L162" s="128">
        <f t="shared" si="94"/>
        <v>40000</v>
      </c>
      <c r="M162" s="253">
        <f t="shared" si="94"/>
        <v>20000</v>
      </c>
      <c r="N162" s="128">
        <f>IFERROR(N10*$E$162,0)</f>
        <v>26315</v>
      </c>
      <c r="O162" s="128">
        <f t="shared" ref="O162:S162" si="98">IFERROR(O10*$E$162,0)</f>
        <v>28288.625</v>
      </c>
      <c r="P162" s="128">
        <f t="shared" si="98"/>
        <v>30410.271875000002</v>
      </c>
      <c r="Q162" s="128">
        <f t="shared" si="98"/>
        <v>31930.78546875</v>
      </c>
      <c r="R162" s="128">
        <f t="shared" si="98"/>
        <v>33527.324742187506</v>
      </c>
      <c r="S162" s="128">
        <f t="shared" si="98"/>
        <v>35203.69097929688</v>
      </c>
      <c r="T162" s="128"/>
      <c r="U162" s="67">
        <f t="shared" si="97"/>
        <v>35203.69097929688</v>
      </c>
      <c r="V162" s="209"/>
      <c r="W162" s="3"/>
      <c r="X162" s="57">
        <f>U162-U44</f>
        <v>0</v>
      </c>
    </row>
    <row r="163" spans="1:24" ht="15" customHeight="1" x14ac:dyDescent="0.25">
      <c r="A163" s="14"/>
      <c r="B163" s="36"/>
      <c r="C163" s="17" t="str">
        <f>C53</f>
        <v>Short-Term Provisions</v>
      </c>
      <c r="D163" s="17"/>
      <c r="E163" s="17"/>
      <c r="F163" s="175"/>
      <c r="G163" s="252" t="s">
        <v>94</v>
      </c>
      <c r="H163" s="252"/>
      <c r="I163" s="175"/>
      <c r="J163" s="252"/>
      <c r="K163" s="128">
        <f t="shared" ref="K163:S165" si="99">-K53</f>
        <v>0</v>
      </c>
      <c r="L163" s="128">
        <f t="shared" si="99"/>
        <v>0</v>
      </c>
      <c r="M163" s="253">
        <f t="shared" si="99"/>
        <v>0</v>
      </c>
      <c r="N163" s="128">
        <f t="shared" si="99"/>
        <v>0</v>
      </c>
      <c r="O163" s="128">
        <f t="shared" si="99"/>
        <v>0</v>
      </c>
      <c r="P163" s="128">
        <f t="shared" si="99"/>
        <v>0</v>
      </c>
      <c r="Q163" s="128">
        <f t="shared" si="99"/>
        <v>0</v>
      </c>
      <c r="R163" s="128">
        <f t="shared" si="99"/>
        <v>0</v>
      </c>
      <c r="S163" s="128">
        <f t="shared" si="99"/>
        <v>0</v>
      </c>
      <c r="T163" s="128"/>
      <c r="U163" s="67">
        <f t="shared" si="97"/>
        <v>0</v>
      </c>
      <c r="V163" s="209"/>
      <c r="W163" s="3"/>
      <c r="X163" s="57">
        <f>U163+U53</f>
        <v>0</v>
      </c>
    </row>
    <row r="164" spans="1:24" ht="15" customHeight="1" x14ac:dyDescent="0.25">
      <c r="A164" s="14"/>
      <c r="B164" s="36"/>
      <c r="C164" s="17" t="str">
        <f>C54</f>
        <v>Payables</v>
      </c>
      <c r="D164" s="17"/>
      <c r="E164" s="17"/>
      <c r="F164" s="175"/>
      <c r="G164" s="252" t="s">
        <v>94</v>
      </c>
      <c r="H164" s="252"/>
      <c r="I164" s="175"/>
      <c r="J164" s="252"/>
      <c r="K164" s="128">
        <f t="shared" si="99"/>
        <v>-230000</v>
      </c>
      <c r="L164" s="128">
        <f t="shared" si="99"/>
        <v>-330000</v>
      </c>
      <c r="M164" s="253">
        <f t="shared" si="99"/>
        <v>-340000</v>
      </c>
      <c r="N164" s="128">
        <f>IFERROR(N13*N143/N$107,0)</f>
        <v>-144191.78082191781</v>
      </c>
      <c r="O164" s="128">
        <f t="shared" ref="O164:S164" si="100">IFERROR(O13*O143/O$107,0)</f>
        <v>-173606.90410958906</v>
      </c>
      <c r="P164" s="128">
        <f t="shared" si="100"/>
        <v>-186627.42191780821</v>
      </c>
      <c r="Q164" s="128">
        <f t="shared" si="100"/>
        <v>-191933.68314549181</v>
      </c>
      <c r="R164" s="128">
        <f t="shared" si="100"/>
        <v>-202082.50529537676</v>
      </c>
      <c r="S164" s="128">
        <f t="shared" si="100"/>
        <v>-212186.6305601456</v>
      </c>
      <c r="T164" s="128"/>
      <c r="U164" s="67">
        <f t="shared" si="97"/>
        <v>-212186.6305601456</v>
      </c>
      <c r="V164" s="209"/>
      <c r="W164" s="3"/>
      <c r="X164" s="57">
        <f>U164+U54</f>
        <v>0</v>
      </c>
    </row>
    <row r="165" spans="1:24" ht="15" customHeight="1" x14ac:dyDescent="0.25">
      <c r="A165" s="14"/>
      <c r="B165" s="36"/>
      <c r="C165" s="17" t="str">
        <f>C55</f>
        <v>Other Current Liabilities</v>
      </c>
      <c r="D165" s="139"/>
      <c r="E165" s="254">
        <v>5.0000000000000001E-3</v>
      </c>
      <c r="F165" s="255"/>
      <c r="G165" s="256" t="s">
        <v>94</v>
      </c>
      <c r="H165" s="256"/>
      <c r="I165" s="255"/>
      <c r="J165" s="256"/>
      <c r="K165" s="128">
        <f t="shared" si="99"/>
        <v>-40000</v>
      </c>
      <c r="L165" s="128">
        <f t="shared" si="99"/>
        <v>-40000</v>
      </c>
      <c r="M165" s="253">
        <f t="shared" si="99"/>
        <v>-10000</v>
      </c>
      <c r="N165" s="257">
        <f>IFERROR(N13*$E$165,0)</f>
        <v>-13157.5</v>
      </c>
      <c r="O165" s="257">
        <f t="shared" ref="O165:S165" si="101">IFERROR(O13*$E$165,0)</f>
        <v>-15841.630000000003</v>
      </c>
      <c r="P165" s="257">
        <f t="shared" si="101"/>
        <v>-17029.752250000001</v>
      </c>
      <c r="Q165" s="257">
        <f t="shared" si="101"/>
        <v>-17561.932007812502</v>
      </c>
      <c r="R165" s="257">
        <f t="shared" si="101"/>
        <v>-18440.028608203127</v>
      </c>
      <c r="S165" s="257">
        <f t="shared" si="101"/>
        <v>-19362.030038613288</v>
      </c>
      <c r="T165" s="257"/>
      <c r="U165" s="67">
        <f t="shared" si="97"/>
        <v>-19362.030038613288</v>
      </c>
      <c r="V165" s="209"/>
      <c r="W165" s="3"/>
      <c r="X165" s="57">
        <f>U165+U55</f>
        <v>0</v>
      </c>
    </row>
    <row r="166" spans="1:24" ht="15" customHeight="1" x14ac:dyDescent="0.25">
      <c r="A166" s="14"/>
      <c r="B166" s="36"/>
      <c r="C166" s="129" t="str">
        <f>C159</f>
        <v>Net Working Capital</v>
      </c>
      <c r="D166" s="42"/>
      <c r="E166" s="42"/>
      <c r="F166" s="175"/>
      <c r="G166" s="258" t="s">
        <v>94</v>
      </c>
      <c r="H166" s="258"/>
      <c r="I166" s="175"/>
      <c r="J166" s="258"/>
      <c r="K166" s="133">
        <f>SUM(K160:K165)</f>
        <v>820000</v>
      </c>
      <c r="L166" s="133">
        <f t="shared" ref="L166:U166" si="102">SUM(L160:L165)</f>
        <v>770000</v>
      </c>
      <c r="M166" s="259">
        <f t="shared" si="102"/>
        <v>470000</v>
      </c>
      <c r="N166" s="133">
        <f t="shared" si="102"/>
        <v>409684.89726027404</v>
      </c>
      <c r="O166" s="133">
        <f t="shared" si="102"/>
        <v>434063.76212328766</v>
      </c>
      <c r="P166" s="133">
        <f t="shared" si="102"/>
        <v>466618.54428253416</v>
      </c>
      <c r="Q166" s="133">
        <f t="shared" si="102"/>
        <v>489840.9321622696</v>
      </c>
      <c r="R166" s="133">
        <f t="shared" si="102"/>
        <v>515700.77516116766</v>
      </c>
      <c r="S166" s="133">
        <f t="shared" si="102"/>
        <v>541485.81391922617</v>
      </c>
      <c r="T166" s="260"/>
      <c r="U166" s="71">
        <f t="shared" si="102"/>
        <v>541485.81391922617</v>
      </c>
      <c r="V166" s="209"/>
      <c r="W166" s="3"/>
      <c r="X166" s="57"/>
    </row>
    <row r="167" spans="1:24" s="267" customFormat="1" ht="15" hidden="1" customHeight="1" outlineLevel="1" x14ac:dyDescent="0.25">
      <c r="A167" s="261"/>
      <c r="B167" s="262"/>
      <c r="C167" s="263" t="s">
        <v>8</v>
      </c>
      <c r="D167" s="264"/>
      <c r="E167" s="264"/>
      <c r="F167" s="264"/>
      <c r="G167" s="264"/>
      <c r="H167" s="264"/>
      <c r="I167" s="264"/>
      <c r="J167" s="264"/>
      <c r="K167" s="29">
        <f>K166-K154</f>
        <v>0</v>
      </c>
      <c r="L167" s="29">
        <f t="shared" ref="L167:U167" si="103">L166-L154</f>
        <v>0</v>
      </c>
      <c r="M167" s="265">
        <f t="shared" si="103"/>
        <v>0</v>
      </c>
      <c r="N167" s="29">
        <f t="shared" si="103"/>
        <v>0</v>
      </c>
      <c r="O167" s="29">
        <f t="shared" si="103"/>
        <v>0</v>
      </c>
      <c r="P167" s="29">
        <f t="shared" si="103"/>
        <v>0</v>
      </c>
      <c r="Q167" s="29">
        <f t="shared" si="103"/>
        <v>0</v>
      </c>
      <c r="R167" s="29">
        <f t="shared" si="103"/>
        <v>0</v>
      </c>
      <c r="S167" s="29">
        <f t="shared" si="103"/>
        <v>0</v>
      </c>
      <c r="T167" s="29"/>
      <c r="U167" s="197">
        <f t="shared" si="103"/>
        <v>0</v>
      </c>
      <c r="V167" s="266"/>
      <c r="X167" s="29">
        <f>SUM(K167:U167)</f>
        <v>0</v>
      </c>
    </row>
    <row r="168" spans="1:24" s="1" customFormat="1" ht="15" customHeight="1" collapsed="1" x14ac:dyDescent="0.25">
      <c r="B168" s="1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268"/>
      <c r="N168" s="8"/>
      <c r="O168" s="8"/>
      <c r="P168" s="8"/>
      <c r="Q168" s="8"/>
      <c r="R168" s="8"/>
      <c r="S168" s="8"/>
      <c r="T168" s="8"/>
      <c r="U168" s="269"/>
      <c r="V168" s="270"/>
      <c r="W168" s="220"/>
      <c r="X168" s="57"/>
    </row>
    <row r="169" spans="1:24" s="1" customFormat="1" ht="15" customHeight="1" x14ac:dyDescent="0.25">
      <c r="X169" s="3"/>
    </row>
    <row r="170" spans="1:24" ht="15" customHeight="1" x14ac:dyDescent="0.25">
      <c r="A170" s="14"/>
      <c r="B170" s="14"/>
      <c r="C170" s="119" t="s">
        <v>85</v>
      </c>
      <c r="D170" s="119"/>
      <c r="E170" s="119"/>
      <c r="F170" s="119"/>
      <c r="G170" s="119"/>
      <c r="H170" s="119"/>
      <c r="I170" s="119"/>
      <c r="J170" s="119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</row>
    <row r="171" spans="1:24" s="28" customFormat="1" ht="15" customHeight="1" x14ac:dyDescent="0.25">
      <c r="A171" s="19">
        <f>MAX(A$1:A170)+1</f>
        <v>5</v>
      </c>
      <c r="B171" s="20"/>
      <c r="C171" s="21" t="s">
        <v>57</v>
      </c>
      <c r="D171" s="21"/>
      <c r="E171" s="21"/>
      <c r="F171" s="21"/>
      <c r="G171" s="21" t="s">
        <v>2</v>
      </c>
      <c r="H171" s="21"/>
      <c r="I171" s="21"/>
      <c r="J171" s="21"/>
      <c r="K171" s="22">
        <f t="shared" ref="K171:U171" si="104">K$7</f>
        <v>2023</v>
      </c>
      <c r="L171" s="22">
        <f t="shared" si="104"/>
        <v>2024</v>
      </c>
      <c r="M171" s="23">
        <f t="shared" si="104"/>
        <v>2025</v>
      </c>
      <c r="N171" s="24">
        <f t="shared" si="104"/>
        <v>2025</v>
      </c>
      <c r="O171" s="24">
        <f t="shared" si="104"/>
        <v>2026</v>
      </c>
      <c r="P171" s="24">
        <f t="shared" si="104"/>
        <v>2027</v>
      </c>
      <c r="Q171" s="24">
        <f t="shared" si="104"/>
        <v>2028</v>
      </c>
      <c r="R171" s="24">
        <f t="shared" si="104"/>
        <v>2029</v>
      </c>
      <c r="S171" s="24">
        <f t="shared" si="104"/>
        <v>2030</v>
      </c>
      <c r="T171" s="25"/>
      <c r="U171" s="26">
        <f t="shared" si="104"/>
        <v>5</v>
      </c>
      <c r="V171" s="27"/>
      <c r="X171" s="29"/>
    </row>
    <row r="172" spans="1:24" s="2" customFormat="1" ht="15" customHeight="1" x14ac:dyDescent="0.25">
      <c r="A172" s="14"/>
      <c r="B172" s="30"/>
      <c r="C172" s="31" t="str">
        <f>C$8</f>
        <v>Forecast Year</v>
      </c>
      <c r="D172" s="31"/>
      <c r="E172" s="31"/>
      <c r="F172" s="32"/>
      <c r="G172" s="32"/>
      <c r="H172" s="32"/>
      <c r="I172" s="33"/>
      <c r="J172" s="32"/>
      <c r="K172" s="33">
        <f t="shared" ref="K172:U172" si="105">K$8</f>
        <v>-2</v>
      </c>
      <c r="L172" s="33">
        <f t="shared" si="105"/>
        <v>-1</v>
      </c>
      <c r="M172" s="34">
        <f t="shared" si="105"/>
        <v>0</v>
      </c>
      <c r="N172" s="33">
        <f t="shared" si="105"/>
        <v>0</v>
      </c>
      <c r="O172" s="33">
        <f t="shared" si="105"/>
        <v>1</v>
      </c>
      <c r="P172" s="33">
        <f t="shared" si="105"/>
        <v>2</v>
      </c>
      <c r="Q172" s="33">
        <f t="shared" si="105"/>
        <v>3</v>
      </c>
      <c r="R172" s="33">
        <f t="shared" si="105"/>
        <v>4</v>
      </c>
      <c r="S172" s="33">
        <f t="shared" si="105"/>
        <v>5</v>
      </c>
      <c r="T172" s="33"/>
      <c r="U172" s="35">
        <f t="shared" si="105"/>
        <v>5</v>
      </c>
      <c r="V172" s="34"/>
      <c r="X172" s="3"/>
    </row>
    <row r="173" spans="1:24" ht="15" customHeight="1" x14ac:dyDescent="0.25">
      <c r="A173" s="14"/>
      <c r="B173" s="36"/>
      <c r="C173" s="14"/>
      <c r="D173" s="14"/>
      <c r="E173" s="14"/>
      <c r="F173" s="14"/>
      <c r="G173" s="14"/>
      <c r="H173" s="14"/>
      <c r="I173" s="14"/>
      <c r="J173" s="14"/>
      <c r="K173" s="17"/>
      <c r="L173" s="17"/>
      <c r="M173" s="120"/>
      <c r="N173" s="17"/>
      <c r="O173" s="17"/>
      <c r="P173" s="17"/>
      <c r="Q173" s="17"/>
      <c r="R173" s="17"/>
      <c r="S173" s="17"/>
      <c r="T173" s="17"/>
      <c r="U173" s="121"/>
      <c r="V173" s="120"/>
    </row>
    <row r="174" spans="1:24" s="16" customFormat="1" ht="15" customHeight="1" x14ac:dyDescent="0.25">
      <c r="B174" s="271"/>
      <c r="C174" s="14" t="s">
        <v>120</v>
      </c>
      <c r="G174" s="122" t="s">
        <v>121</v>
      </c>
      <c r="I174" s="272">
        <v>5</v>
      </c>
      <c r="K174" s="42"/>
      <c r="L174" s="42"/>
      <c r="M174" s="273"/>
      <c r="N174" s="274"/>
      <c r="O174" s="274"/>
      <c r="P174" s="274"/>
      <c r="Q174" s="274"/>
      <c r="R174" s="274"/>
      <c r="S174" s="274"/>
      <c r="T174" s="274"/>
      <c r="U174" s="275"/>
      <c r="V174" s="276"/>
      <c r="X174" s="3"/>
    </row>
    <row r="175" spans="1:24" ht="15" customHeight="1" x14ac:dyDescent="0.25">
      <c r="A175" s="14"/>
      <c r="B175" s="36"/>
      <c r="C175" s="14"/>
      <c r="D175" s="14"/>
      <c r="E175" s="14"/>
      <c r="F175" s="14"/>
      <c r="G175" s="14"/>
      <c r="H175" s="14"/>
      <c r="I175" s="14"/>
      <c r="J175" s="14"/>
      <c r="K175" s="17"/>
      <c r="L175" s="17"/>
      <c r="M175" s="120"/>
      <c r="N175" s="17"/>
      <c r="O175" s="17"/>
      <c r="P175" s="17"/>
      <c r="Q175" s="17"/>
      <c r="R175" s="17"/>
      <c r="S175" s="17"/>
      <c r="T175" s="17"/>
      <c r="U175" s="121"/>
      <c r="V175" s="120"/>
    </row>
    <row r="176" spans="1:24" s="16" customFormat="1" ht="15" customHeight="1" x14ac:dyDescent="0.25">
      <c r="B176" s="271"/>
      <c r="C176" s="16" t="str">
        <f>C86</f>
        <v>Capital Expenditures</v>
      </c>
      <c r="G176" s="155" t="s">
        <v>94</v>
      </c>
      <c r="K176" s="42"/>
      <c r="L176" s="42"/>
      <c r="M176" s="276"/>
      <c r="N176" s="274">
        <v>1500000</v>
      </c>
      <c r="O176" s="274">
        <v>0</v>
      </c>
      <c r="P176" s="274">
        <v>0</v>
      </c>
      <c r="Q176" s="274">
        <v>0</v>
      </c>
      <c r="R176" s="274">
        <v>250000</v>
      </c>
      <c r="S176" s="274">
        <v>0</v>
      </c>
      <c r="T176" s="274"/>
      <c r="U176" s="277">
        <f>SUM(N176:T176)</f>
        <v>1750000</v>
      </c>
      <c r="V176" s="276"/>
      <c r="X176" s="3"/>
    </row>
    <row r="177" spans="1:24" ht="15" hidden="1" customHeight="1" outlineLevel="1" x14ac:dyDescent="0.25">
      <c r="A177" s="14"/>
      <c r="B177" s="36"/>
      <c r="C177" s="14"/>
      <c r="D177" s="14"/>
      <c r="E177" s="14"/>
      <c r="F177" s="14"/>
      <c r="G177" s="14"/>
      <c r="H177" s="14"/>
      <c r="I177" s="14"/>
      <c r="J177" s="14"/>
      <c r="K177" s="17"/>
      <c r="L177" s="17"/>
      <c r="M177" s="120"/>
      <c r="N177" s="17"/>
      <c r="O177" s="17"/>
      <c r="P177" s="17"/>
      <c r="Q177" s="17"/>
      <c r="R177" s="17"/>
      <c r="S177" s="17"/>
      <c r="T177" s="17"/>
      <c r="U177" s="121"/>
      <c r="V177" s="120"/>
    </row>
    <row r="178" spans="1:24" ht="15" hidden="1" customHeight="1" outlineLevel="1" x14ac:dyDescent="0.25">
      <c r="A178" s="14"/>
      <c r="B178" s="36"/>
      <c r="C178" s="16" t="s">
        <v>58</v>
      </c>
      <c r="D178" s="16"/>
      <c r="E178" s="16"/>
      <c r="F178" s="14"/>
      <c r="G178" s="14"/>
      <c r="H178" s="14"/>
      <c r="I178" s="14"/>
      <c r="J178" s="14"/>
      <c r="K178" s="17"/>
      <c r="L178" s="17"/>
      <c r="M178" s="120"/>
      <c r="P178" s="17"/>
      <c r="Q178" s="17"/>
      <c r="R178" s="17"/>
      <c r="S178" s="17"/>
      <c r="T178" s="17"/>
      <c r="U178" s="278"/>
      <c r="V178" s="120"/>
    </row>
    <row r="179" spans="1:24" ht="15" hidden="1" customHeight="1" outlineLevel="1" x14ac:dyDescent="0.25">
      <c r="A179" s="14"/>
      <c r="B179" s="36"/>
      <c r="C179" s="279" cm="1">
        <f t="array" ref="C179:C184">TRANSPOSE(N172:S172)</f>
        <v>0</v>
      </c>
      <c r="D179" s="281"/>
      <c r="E179" s="281"/>
      <c r="F179" s="17"/>
      <c r="G179" s="122" t="s">
        <v>94</v>
      </c>
      <c r="H179" s="17"/>
      <c r="I179" s="125" cm="1">
        <f t="array" ref="I179:I184">TRANSPOSE(N176:S176)/$I$174</f>
        <v>300000</v>
      </c>
      <c r="J179" s="17"/>
      <c r="K179" s="125"/>
      <c r="L179" s="125"/>
      <c r="M179" s="127"/>
      <c r="N179" s="125">
        <f t="shared" ref="N179:S179" si="106">IF(N$172=$C179,0,IF(AND(N$172&gt;$C179,N$172&lt;=$I$174),$I179,0))</f>
        <v>0</v>
      </c>
      <c r="O179" s="125">
        <f t="shared" si="106"/>
        <v>300000</v>
      </c>
      <c r="P179" s="125">
        <f t="shared" si="106"/>
        <v>300000</v>
      </c>
      <c r="Q179" s="125">
        <f t="shared" si="106"/>
        <v>300000</v>
      </c>
      <c r="R179" s="125">
        <f t="shared" si="106"/>
        <v>300000</v>
      </c>
      <c r="S179" s="125">
        <f t="shared" si="106"/>
        <v>300000</v>
      </c>
      <c r="T179" s="125"/>
      <c r="U179" s="67">
        <f t="shared" ref="U179:U184" si="107">SUM(N179:T179)</f>
        <v>1500000</v>
      </c>
      <c r="V179" s="127"/>
    </row>
    <row r="180" spans="1:24" s="1" customFormat="1" ht="15" hidden="1" customHeight="1" outlineLevel="1" x14ac:dyDescent="0.25">
      <c r="B180" s="41"/>
      <c r="C180" s="279">
        <v>1</v>
      </c>
      <c r="D180" s="281"/>
      <c r="E180" s="281"/>
      <c r="F180" s="17"/>
      <c r="G180" s="122" t="s">
        <v>94</v>
      </c>
      <c r="H180" s="17"/>
      <c r="I180" s="125">
        <v>0</v>
      </c>
      <c r="J180" s="17"/>
      <c r="K180" s="125"/>
      <c r="L180" s="125"/>
      <c r="M180" s="127"/>
      <c r="N180" s="125"/>
      <c r="O180" s="125">
        <f>IF(O$172=$C180,0,IF(AND(O$172&gt;$C180,O$172&lt;=$I$174),$I180,0))</f>
        <v>0</v>
      </c>
      <c r="P180" s="125">
        <f>IF(P$172=$C180,0,IF(AND(P$172&gt;$C180,P$172&lt;=$I$174),$I180,0))</f>
        <v>0</v>
      </c>
      <c r="Q180" s="125">
        <f>IF(Q$172=$C180,0,IF(AND(Q$172&gt;$C180,Q$172&lt;=$I$174),$I180,0))</f>
        <v>0</v>
      </c>
      <c r="R180" s="125">
        <f>IF(R$172=$C180,0,IF(AND(R$172&gt;$C180,R$172&lt;=$I$174),$I180,0))</f>
        <v>0</v>
      </c>
      <c r="S180" s="125">
        <f>IF(S$172=$C180,0,IF(AND(S$172&gt;$C180,S$172&lt;=$I$174),$I180,0))</f>
        <v>0</v>
      </c>
      <c r="T180" s="125"/>
      <c r="U180" s="67">
        <f t="shared" si="107"/>
        <v>0</v>
      </c>
      <c r="V180" s="136"/>
      <c r="X180" s="3"/>
    </row>
    <row r="181" spans="1:24" s="1" customFormat="1" ht="15" hidden="1" customHeight="1" outlineLevel="1" x14ac:dyDescent="0.25">
      <c r="B181" s="41"/>
      <c r="C181" s="279">
        <v>2</v>
      </c>
      <c r="D181" s="281"/>
      <c r="E181" s="281"/>
      <c r="F181" s="17"/>
      <c r="G181" s="122" t="s">
        <v>94</v>
      </c>
      <c r="H181" s="17"/>
      <c r="I181" s="125">
        <v>0</v>
      </c>
      <c r="J181" s="17"/>
      <c r="K181" s="125"/>
      <c r="L181" s="125"/>
      <c r="M181" s="127"/>
      <c r="N181" s="125"/>
      <c r="O181" s="125"/>
      <c r="P181" s="125">
        <f>IF(P$172=$C181,0,IF(AND(P$172&gt;$C181,P$172&lt;=$I$174),$I181,0))</f>
        <v>0</v>
      </c>
      <c r="Q181" s="125">
        <f>IF(Q$172=$C181,0,IF(AND(Q$172&gt;$C181,Q$172&lt;=$I$174),$I181,0))</f>
        <v>0</v>
      </c>
      <c r="R181" s="125">
        <f>IF(R$172=$C181,0,IF(AND(R$172&gt;$C181,R$172&lt;=$I$174),$I181,0))</f>
        <v>0</v>
      </c>
      <c r="S181" s="125">
        <f>IF(S$172=$C181,0,IF(AND(S$172&gt;$C181,S$172&lt;=$I$174),$I181,0))</f>
        <v>0</v>
      </c>
      <c r="T181" s="125"/>
      <c r="U181" s="67">
        <f t="shared" si="107"/>
        <v>0</v>
      </c>
      <c r="V181" s="136"/>
      <c r="X181" s="3"/>
    </row>
    <row r="182" spans="1:24" s="1" customFormat="1" ht="15" hidden="1" customHeight="1" outlineLevel="1" x14ac:dyDescent="0.25">
      <c r="B182" s="41"/>
      <c r="C182" s="279">
        <v>3</v>
      </c>
      <c r="D182" s="281"/>
      <c r="E182" s="281"/>
      <c r="F182" s="17"/>
      <c r="G182" s="122" t="s">
        <v>94</v>
      </c>
      <c r="H182" s="17"/>
      <c r="I182" s="125">
        <v>0</v>
      </c>
      <c r="J182" s="17"/>
      <c r="K182" s="125"/>
      <c r="L182" s="125"/>
      <c r="M182" s="127"/>
      <c r="N182" s="125"/>
      <c r="O182" s="125"/>
      <c r="P182" s="125"/>
      <c r="Q182" s="125">
        <f>IF(Q$172=$C182,0,IF(AND(Q$172&gt;$C182,Q$172&lt;=$I$174),$I182,0))</f>
        <v>0</v>
      </c>
      <c r="R182" s="125">
        <f>IF(R$172=$C182,0,IF(AND(R$172&gt;$C182,R$172&lt;=$I$174),$I182,0))</f>
        <v>0</v>
      </c>
      <c r="S182" s="125">
        <f>IF(S$172=$C182,0,IF(AND(S$172&gt;$C182,S$172&lt;=$I$174),$I182,0))</f>
        <v>0</v>
      </c>
      <c r="T182" s="125"/>
      <c r="U182" s="67">
        <f t="shared" si="107"/>
        <v>0</v>
      </c>
      <c r="V182" s="136"/>
      <c r="X182" s="3"/>
    </row>
    <row r="183" spans="1:24" s="1" customFormat="1" ht="15" hidden="1" customHeight="1" outlineLevel="1" x14ac:dyDescent="0.25">
      <c r="B183" s="41"/>
      <c r="C183" s="279">
        <v>4</v>
      </c>
      <c r="D183" s="281"/>
      <c r="E183" s="281"/>
      <c r="F183" s="17"/>
      <c r="G183" s="122" t="s">
        <v>94</v>
      </c>
      <c r="H183" s="17"/>
      <c r="I183" s="125">
        <v>50000</v>
      </c>
      <c r="J183" s="17"/>
      <c r="K183" s="125"/>
      <c r="L183" s="125"/>
      <c r="M183" s="127"/>
      <c r="N183" s="125"/>
      <c r="O183" s="125"/>
      <c r="P183" s="125"/>
      <c r="Q183" s="125"/>
      <c r="R183" s="125">
        <f>IF(R$172=$C183,0,IF(AND(R$172&gt;$C183,R$172&lt;=$I$174),$I183,0))</f>
        <v>0</v>
      </c>
      <c r="S183" s="125">
        <f>IF(S$172=$C183,0,IF(AND(S$172&gt;$C183,S$172&lt;=$I$174),$I183,0))</f>
        <v>50000</v>
      </c>
      <c r="T183" s="125"/>
      <c r="U183" s="67">
        <f t="shared" si="107"/>
        <v>50000</v>
      </c>
      <c r="V183" s="136"/>
      <c r="X183" s="3"/>
    </row>
    <row r="184" spans="1:24" s="1" customFormat="1" ht="15" hidden="1" customHeight="1" outlineLevel="1" x14ac:dyDescent="0.25">
      <c r="B184" s="41"/>
      <c r="C184" s="280">
        <v>5</v>
      </c>
      <c r="D184" s="283"/>
      <c r="E184" s="283"/>
      <c r="F184" s="139"/>
      <c r="G184" s="140" t="s">
        <v>94</v>
      </c>
      <c r="H184" s="139"/>
      <c r="I184" s="282">
        <v>0</v>
      </c>
      <c r="J184" s="139"/>
      <c r="K184" s="282"/>
      <c r="L184" s="282"/>
      <c r="M184" s="284"/>
      <c r="N184" s="282"/>
      <c r="O184" s="282"/>
      <c r="P184" s="282"/>
      <c r="Q184" s="282"/>
      <c r="R184" s="282"/>
      <c r="S184" s="282">
        <f>IF(S$172=$C184,0,IF(AND(S$172&gt;$C184,S$172&lt;=$I$174),$I184,0))</f>
        <v>0</v>
      </c>
      <c r="T184" s="282"/>
      <c r="U184" s="285">
        <f t="shared" si="107"/>
        <v>0</v>
      </c>
      <c r="V184" s="136"/>
      <c r="X184" s="3"/>
    </row>
    <row r="185" spans="1:24" s="1" customFormat="1" ht="15" customHeight="1" collapsed="1" x14ac:dyDescent="0.25">
      <c r="B185" s="41"/>
      <c r="C185" s="286" t="s">
        <v>58</v>
      </c>
      <c r="D185" s="286"/>
      <c r="E185" s="286"/>
      <c r="F185" s="17"/>
      <c r="G185" s="122" t="s">
        <v>94</v>
      </c>
      <c r="H185" s="17"/>
      <c r="I185" s="17"/>
      <c r="J185" s="17"/>
      <c r="K185" s="125"/>
      <c r="L185" s="125"/>
      <c r="M185" s="127"/>
      <c r="N185" s="125">
        <f t="shared" ref="N185:S185" si="108">SUM(N179:N184)</f>
        <v>0</v>
      </c>
      <c r="O185" s="125">
        <f t="shared" si="108"/>
        <v>300000</v>
      </c>
      <c r="P185" s="125">
        <f t="shared" si="108"/>
        <v>300000</v>
      </c>
      <c r="Q185" s="125">
        <f t="shared" si="108"/>
        <v>300000</v>
      </c>
      <c r="R185" s="125">
        <f t="shared" si="108"/>
        <v>300000</v>
      </c>
      <c r="S185" s="125">
        <f t="shared" si="108"/>
        <v>350000</v>
      </c>
      <c r="T185" s="125"/>
      <c r="U185" s="126">
        <f>SUM(U179:U184)</f>
        <v>1550000</v>
      </c>
      <c r="V185" s="136"/>
      <c r="X185" s="3"/>
    </row>
    <row r="186" spans="1:24" s="1" customFormat="1" ht="15" customHeight="1" x14ac:dyDescent="0.25">
      <c r="B186" s="41"/>
      <c r="C186" s="4"/>
      <c r="D186" s="4"/>
      <c r="E186" s="4"/>
      <c r="F186" s="42"/>
      <c r="G186" s="155"/>
      <c r="H186" s="42"/>
      <c r="I186" s="42"/>
      <c r="J186" s="42"/>
      <c r="K186" s="156"/>
      <c r="L186" s="156"/>
      <c r="M186" s="157"/>
      <c r="N186" s="156"/>
      <c r="O186" s="156"/>
      <c r="P186" s="156"/>
      <c r="Q186" s="156"/>
      <c r="R186" s="156"/>
      <c r="S186" s="156"/>
      <c r="T186" s="156"/>
      <c r="U186" s="158"/>
      <c r="V186" s="148"/>
      <c r="X186" s="3"/>
    </row>
    <row r="187" spans="1:24" s="1" customFormat="1" ht="15" customHeight="1" x14ac:dyDescent="0.25">
      <c r="B187" s="41"/>
      <c r="C187" s="286" t="str">
        <f>"Gross "&amp;C189</f>
        <v>Gross Fixed Assets</v>
      </c>
      <c r="D187" s="286"/>
      <c r="E187" s="286"/>
      <c r="F187" s="17"/>
      <c r="G187" s="122" t="s">
        <v>94</v>
      </c>
      <c r="H187" s="17"/>
      <c r="I187" s="17"/>
      <c r="J187" s="17"/>
      <c r="K187" s="125"/>
      <c r="L187" s="125"/>
      <c r="M187" s="127"/>
      <c r="N187" s="125">
        <f t="shared" ref="N187:S187" si="109">N176+M187</f>
        <v>1500000</v>
      </c>
      <c r="O187" s="125">
        <f t="shared" si="109"/>
        <v>1500000</v>
      </c>
      <c r="P187" s="125">
        <f t="shared" si="109"/>
        <v>1500000</v>
      </c>
      <c r="Q187" s="125">
        <f t="shared" si="109"/>
        <v>1500000</v>
      </c>
      <c r="R187" s="125">
        <f t="shared" si="109"/>
        <v>1750000</v>
      </c>
      <c r="S187" s="125">
        <f t="shared" si="109"/>
        <v>1750000</v>
      </c>
      <c r="T187" s="125"/>
      <c r="U187" s="126">
        <f>S187</f>
        <v>1750000</v>
      </c>
      <c r="V187" s="136"/>
      <c r="X187" s="3"/>
    </row>
    <row r="188" spans="1:24" s="1" customFormat="1" ht="15" customHeight="1" x14ac:dyDescent="0.25">
      <c r="B188" s="41"/>
      <c r="C188" s="286" t="str">
        <f>"Accumulated "&amp;C185</f>
        <v>Accumulated Depreciation</v>
      </c>
      <c r="D188" s="286"/>
      <c r="E188" s="286"/>
      <c r="F188" s="17"/>
      <c r="G188" s="122" t="s">
        <v>94</v>
      </c>
      <c r="H188" s="17"/>
      <c r="I188" s="17"/>
      <c r="J188" s="17"/>
      <c r="K188" s="125"/>
      <c r="L188" s="125"/>
      <c r="M188" s="127"/>
      <c r="N188" s="125">
        <f>N185+M188</f>
        <v>0</v>
      </c>
      <c r="O188" s="125">
        <f t="shared" ref="O188:S188" si="110">O185+N188</f>
        <v>300000</v>
      </c>
      <c r="P188" s="125">
        <f t="shared" si="110"/>
        <v>600000</v>
      </c>
      <c r="Q188" s="125">
        <f t="shared" si="110"/>
        <v>900000</v>
      </c>
      <c r="R188" s="125">
        <f t="shared" si="110"/>
        <v>1200000</v>
      </c>
      <c r="S188" s="125">
        <f t="shared" si="110"/>
        <v>1550000</v>
      </c>
      <c r="T188" s="125"/>
      <c r="U188" s="126">
        <f>S188</f>
        <v>1550000</v>
      </c>
      <c r="V188" s="136"/>
      <c r="X188" s="3">
        <f>U188-U185</f>
        <v>0</v>
      </c>
    </row>
    <row r="189" spans="1:24" s="28" customFormat="1" ht="15" customHeight="1" x14ac:dyDescent="0.25">
      <c r="B189" s="160"/>
      <c r="C189" s="287" t="str">
        <f>C48</f>
        <v>Fixed Assets</v>
      </c>
      <c r="D189" s="288"/>
      <c r="E189" s="288"/>
      <c r="F189" s="143"/>
      <c r="G189" s="144" t="s">
        <v>94</v>
      </c>
      <c r="H189" s="143"/>
      <c r="I189" s="143"/>
      <c r="J189" s="143"/>
      <c r="K189" s="289"/>
      <c r="L189" s="289"/>
      <c r="M189" s="290"/>
      <c r="N189" s="289">
        <f>N187-N188</f>
        <v>1500000</v>
      </c>
      <c r="O189" s="289">
        <f t="shared" ref="O189:U189" si="111">O187-O188</f>
        <v>1200000</v>
      </c>
      <c r="P189" s="289">
        <f t="shared" si="111"/>
        <v>900000</v>
      </c>
      <c r="Q189" s="289">
        <f t="shared" si="111"/>
        <v>600000</v>
      </c>
      <c r="R189" s="289">
        <f t="shared" si="111"/>
        <v>550000</v>
      </c>
      <c r="S189" s="289">
        <f t="shared" si="111"/>
        <v>200000</v>
      </c>
      <c r="T189" s="289"/>
      <c r="U189" s="291">
        <f t="shared" si="111"/>
        <v>200000</v>
      </c>
      <c r="V189" s="148"/>
      <c r="X189" s="3">
        <f>U176-U188-U189</f>
        <v>0</v>
      </c>
    </row>
    <row r="190" spans="1:24" s="1" customFormat="1" ht="15" customHeight="1" x14ac:dyDescent="0.25">
      <c r="B190" s="112"/>
      <c r="C190" s="8"/>
      <c r="D190" s="8"/>
      <c r="E190" s="8"/>
      <c r="F190" s="8"/>
      <c r="G190" s="8"/>
      <c r="H190" s="8"/>
      <c r="I190" s="143"/>
      <c r="J190" s="8"/>
      <c r="K190" s="165"/>
      <c r="L190" s="165"/>
      <c r="M190" s="166"/>
      <c r="N190" s="165"/>
      <c r="O190" s="165"/>
      <c r="P190" s="165"/>
      <c r="Q190" s="165"/>
      <c r="R190" s="165"/>
      <c r="S190" s="165"/>
      <c r="T190" s="165"/>
      <c r="U190" s="167"/>
      <c r="V190" s="166"/>
      <c r="X190" s="3"/>
    </row>
    <row r="191" spans="1:24" s="1" customFormat="1" ht="15" customHeight="1" x14ac:dyDescent="0.25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X191" s="29"/>
    </row>
    <row r="192" spans="1:24" s="1" customFormat="1" ht="15" customHeight="1" x14ac:dyDescent="0.25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X192" s="29"/>
    </row>
    <row r="193" spans="1:24" s="1" customFormat="1" ht="15" customHeight="1" x14ac:dyDescent="0.25">
      <c r="C193" s="13" t="s">
        <v>59</v>
      </c>
      <c r="D193" s="13"/>
      <c r="E193" s="13"/>
      <c r="F193" s="2"/>
      <c r="G193" s="2"/>
      <c r="H193" s="2"/>
      <c r="I193" s="2"/>
      <c r="J193" s="2"/>
      <c r="K193" s="202"/>
      <c r="L193" s="202"/>
      <c r="M193" s="202"/>
      <c r="N193" s="202"/>
      <c r="O193" s="202"/>
      <c r="P193" s="202"/>
      <c r="Q193" s="202"/>
      <c r="R193" s="202"/>
      <c r="S193" s="202"/>
      <c r="T193" s="202"/>
      <c r="U193" s="202"/>
      <c r="V193" s="202"/>
      <c r="X193" s="29"/>
    </row>
    <row r="194" spans="1:24" ht="15" customHeight="1" x14ac:dyDescent="0.25">
      <c r="A194" s="14"/>
      <c r="B194" s="14"/>
      <c r="C194" s="119" t="s">
        <v>85</v>
      </c>
      <c r="D194" s="119"/>
      <c r="E194" s="119"/>
      <c r="F194" s="119"/>
      <c r="G194" s="119"/>
      <c r="H194" s="119"/>
      <c r="I194" s="119"/>
      <c r="J194" s="119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</row>
    <row r="195" spans="1:24" s="28" customFormat="1" ht="15" customHeight="1" x14ac:dyDescent="0.25">
      <c r="A195" s="19">
        <f>MAX(A$1:A194)+1</f>
        <v>6</v>
      </c>
      <c r="B195" s="20"/>
      <c r="C195" s="21" t="str">
        <f>C193</f>
        <v>Chart Data</v>
      </c>
      <c r="D195" s="21"/>
      <c r="E195" s="21"/>
      <c r="F195" s="21"/>
      <c r="G195" s="21" t="s">
        <v>2</v>
      </c>
      <c r="H195" s="21"/>
      <c r="I195" s="21"/>
      <c r="J195" s="21"/>
      <c r="K195" s="22">
        <f t="shared" ref="K195:S195" si="112">K$7</f>
        <v>2023</v>
      </c>
      <c r="L195" s="22">
        <f t="shared" si="112"/>
        <v>2024</v>
      </c>
      <c r="M195" s="23">
        <f t="shared" si="112"/>
        <v>2025</v>
      </c>
      <c r="N195" s="24">
        <f t="shared" si="112"/>
        <v>2025</v>
      </c>
      <c r="O195" s="24">
        <f t="shared" si="112"/>
        <v>2026</v>
      </c>
      <c r="P195" s="24">
        <f t="shared" si="112"/>
        <v>2027</v>
      </c>
      <c r="Q195" s="24">
        <f t="shared" si="112"/>
        <v>2028</v>
      </c>
      <c r="R195" s="24">
        <f t="shared" si="112"/>
        <v>2029</v>
      </c>
      <c r="S195" s="24">
        <f t="shared" si="112"/>
        <v>2030</v>
      </c>
      <c r="T195" s="25"/>
      <c r="U195" s="292"/>
      <c r="V195" s="27"/>
      <c r="X195" s="29"/>
    </row>
    <row r="196" spans="1:24" s="2" customFormat="1" ht="15" customHeight="1" x14ac:dyDescent="0.25">
      <c r="A196" s="14"/>
      <c r="B196" s="30"/>
      <c r="C196" s="31" t="str">
        <f>C$8</f>
        <v>Forecast Year</v>
      </c>
      <c r="D196" s="31"/>
      <c r="E196" s="31"/>
      <c r="F196" s="32"/>
      <c r="G196" s="32"/>
      <c r="H196" s="32"/>
      <c r="I196" s="33"/>
      <c r="J196" s="32"/>
      <c r="K196" s="33">
        <f t="shared" ref="K196:S196" si="113">K$8</f>
        <v>-2</v>
      </c>
      <c r="L196" s="33">
        <f t="shared" si="113"/>
        <v>-1</v>
      </c>
      <c r="M196" s="34">
        <f t="shared" si="113"/>
        <v>0</v>
      </c>
      <c r="N196" s="33">
        <f t="shared" si="113"/>
        <v>0</v>
      </c>
      <c r="O196" s="33">
        <f t="shared" si="113"/>
        <v>1</v>
      </c>
      <c r="P196" s="33">
        <f t="shared" si="113"/>
        <v>2</v>
      </c>
      <c r="Q196" s="33">
        <f t="shared" si="113"/>
        <v>3</v>
      </c>
      <c r="R196" s="33">
        <f t="shared" si="113"/>
        <v>4</v>
      </c>
      <c r="S196" s="33">
        <f t="shared" si="113"/>
        <v>5</v>
      </c>
      <c r="T196" s="33"/>
      <c r="U196" s="33"/>
      <c r="V196" s="34"/>
      <c r="X196" s="3"/>
    </row>
    <row r="197" spans="1:24" ht="15" customHeight="1" x14ac:dyDescent="0.25">
      <c r="A197" s="14"/>
      <c r="B197" s="36"/>
      <c r="C197" s="17"/>
      <c r="D197" s="17"/>
      <c r="E197" s="17"/>
      <c r="F197" s="17"/>
      <c r="G197" s="17"/>
      <c r="H197" s="17"/>
      <c r="I197" s="17"/>
      <c r="J197" s="17"/>
      <c r="K197" s="206"/>
      <c r="L197" s="206"/>
      <c r="M197" s="207"/>
      <c r="N197" s="206"/>
      <c r="O197" s="206"/>
      <c r="P197" s="206"/>
      <c r="Q197" s="206"/>
      <c r="R197" s="206"/>
      <c r="S197" s="206"/>
      <c r="T197" s="206"/>
      <c r="U197" s="206"/>
      <c r="V197" s="209"/>
      <c r="W197" s="3"/>
      <c r="X197" s="57"/>
    </row>
    <row r="198" spans="1:24" ht="15" customHeight="1" x14ac:dyDescent="0.25">
      <c r="A198" s="14"/>
      <c r="B198" s="36"/>
      <c r="C198" s="42" t="s">
        <v>60</v>
      </c>
      <c r="D198" s="17"/>
      <c r="E198" s="17"/>
      <c r="F198" s="17"/>
      <c r="G198" s="17"/>
      <c r="H198" s="17"/>
      <c r="I198" s="17"/>
      <c r="J198" s="17"/>
      <c r="K198" s="206"/>
      <c r="L198" s="206"/>
      <c r="M198" s="207"/>
      <c r="N198" s="206"/>
      <c r="O198" s="206"/>
      <c r="P198" s="206"/>
      <c r="Q198" s="206"/>
      <c r="R198" s="206"/>
      <c r="S198" s="206"/>
      <c r="T198" s="206"/>
      <c r="U198" s="206"/>
      <c r="V198" s="209"/>
      <c r="W198" s="3"/>
      <c r="X198" s="57"/>
    </row>
    <row r="199" spans="1:24" ht="15" customHeight="1" x14ac:dyDescent="0.25">
      <c r="A199" s="14"/>
      <c r="B199" s="36"/>
      <c r="C199" s="17" t="str">
        <f>C10</f>
        <v>Revenue</v>
      </c>
      <c r="D199" s="17"/>
      <c r="E199" s="293" t="b">
        <v>1</v>
      </c>
      <c r="F199" s="17"/>
      <c r="G199" s="225" t="s">
        <v>94</v>
      </c>
      <c r="H199" s="17"/>
      <c r="I199" s="17"/>
      <c r="J199" s="17"/>
      <c r="K199" s="17"/>
      <c r="L199" s="17"/>
      <c r="M199" s="120"/>
      <c r="N199" s="294">
        <f t="shared" ref="N199:S199" si="114">IF($E199,N10,NA())</f>
        <v>5263000</v>
      </c>
      <c r="O199" s="294">
        <f t="shared" si="114"/>
        <v>5657725</v>
      </c>
      <c r="P199" s="294">
        <f t="shared" si="114"/>
        <v>6082054.375</v>
      </c>
      <c r="Q199" s="294">
        <f t="shared" si="114"/>
        <v>6386157.09375</v>
      </c>
      <c r="R199" s="294">
        <f t="shared" si="114"/>
        <v>6705464.9484375007</v>
      </c>
      <c r="S199" s="294">
        <f t="shared" si="114"/>
        <v>7040738.1958593763</v>
      </c>
      <c r="T199" s="294"/>
      <c r="U199" s="295"/>
      <c r="V199" s="209"/>
      <c r="W199" s="3"/>
      <c r="X199" s="57"/>
    </row>
    <row r="200" spans="1:24" ht="15" customHeight="1" x14ac:dyDescent="0.25">
      <c r="A200" s="14"/>
      <c r="B200" s="36"/>
      <c r="C200" s="17" t="str">
        <f>C18</f>
        <v>EBITDA</v>
      </c>
      <c r="D200" s="17"/>
      <c r="E200" s="293" t="b">
        <v>1</v>
      </c>
      <c r="F200" s="17"/>
      <c r="G200" s="225" t="s">
        <v>94</v>
      </c>
      <c r="H200" s="17"/>
      <c r="I200" s="17"/>
      <c r="J200" s="17"/>
      <c r="K200" s="17"/>
      <c r="L200" s="17"/>
      <c r="M200" s="120"/>
      <c r="N200" s="294">
        <f t="shared" ref="N200:S201" si="115">IF($E200,N18,NA())</f>
        <v>1281500</v>
      </c>
      <c r="O200" s="294">
        <f t="shared" si="115"/>
        <v>1100684.6818181814</v>
      </c>
      <c r="P200" s="294">
        <f t="shared" si="115"/>
        <v>1183236.032954545</v>
      </c>
      <c r="Q200" s="294">
        <f t="shared" si="115"/>
        <v>1261473.3687784085</v>
      </c>
      <c r="R200" s="294">
        <f t="shared" si="115"/>
        <v>1260055.1442809654</v>
      </c>
      <c r="S200" s="294">
        <f t="shared" si="115"/>
        <v>1235187.6973692181</v>
      </c>
      <c r="T200" s="294"/>
      <c r="U200" s="295"/>
      <c r="V200" s="209"/>
      <c r="W200" s="3"/>
      <c r="X200" s="57"/>
    </row>
    <row r="201" spans="1:24" ht="15" customHeight="1" x14ac:dyDescent="0.25">
      <c r="A201" s="14"/>
      <c r="B201" s="36"/>
      <c r="C201" s="17" t="str">
        <f>C19</f>
        <v>EBITDA Margin %</v>
      </c>
      <c r="D201" s="17"/>
      <c r="E201" s="293" t="b">
        <v>1</v>
      </c>
      <c r="F201" s="17"/>
      <c r="G201" s="17" t="str">
        <f>G19</f>
        <v>% of Revenue</v>
      </c>
      <c r="H201" s="17"/>
      <c r="I201" s="17"/>
      <c r="J201" s="17"/>
      <c r="K201" s="17"/>
      <c r="L201" s="17"/>
      <c r="M201" s="120"/>
      <c r="N201" s="296">
        <f t="shared" si="115"/>
        <v>0.24349230476914308</v>
      </c>
      <c r="O201" s="296">
        <f t="shared" si="115"/>
        <v>0.19454545454545447</v>
      </c>
      <c r="P201" s="296">
        <f t="shared" si="115"/>
        <v>0.19454545454545447</v>
      </c>
      <c r="Q201" s="296">
        <f t="shared" si="115"/>
        <v>0.19753246753246745</v>
      </c>
      <c r="R201" s="296">
        <f t="shared" si="115"/>
        <v>0.18791465677179953</v>
      </c>
      <c r="S201" s="296">
        <f t="shared" si="115"/>
        <v>0.17543440233236138</v>
      </c>
      <c r="T201" s="296"/>
      <c r="U201" s="297"/>
      <c r="V201" s="209"/>
      <c r="W201" s="3"/>
      <c r="X201" s="57"/>
    </row>
    <row r="202" spans="1:24" ht="15" customHeight="1" x14ac:dyDescent="0.25">
      <c r="A202" s="14"/>
      <c r="B202" s="36"/>
      <c r="C202" s="17" t="str">
        <f>C31</f>
        <v>Net Income/Loss</v>
      </c>
      <c r="D202" s="17"/>
      <c r="E202" s="293" t="b">
        <v>1</v>
      </c>
      <c r="F202" s="17"/>
      <c r="G202" s="225" t="s">
        <v>94</v>
      </c>
      <c r="H202" s="17"/>
      <c r="I202" s="17"/>
      <c r="J202" s="17"/>
      <c r="K202" s="17"/>
      <c r="L202" s="17"/>
      <c r="M202" s="120"/>
      <c r="N202" s="294">
        <f t="shared" ref="N202:S202" si="116">IF($E202,N31,NA())</f>
        <v>923625</v>
      </c>
      <c r="O202" s="294">
        <f t="shared" si="116"/>
        <v>565826.011363636</v>
      </c>
      <c r="P202" s="294">
        <f t="shared" si="116"/>
        <v>633364.5247159088</v>
      </c>
      <c r="Q202" s="294">
        <f t="shared" si="116"/>
        <v>697667.52658380638</v>
      </c>
      <c r="R202" s="294">
        <f t="shared" si="116"/>
        <v>702228.85821072408</v>
      </c>
      <c r="S202" s="294">
        <f t="shared" si="116"/>
        <v>651703.27302691364</v>
      </c>
      <c r="T202" s="294"/>
      <c r="U202" s="295"/>
      <c r="V202" s="209"/>
      <c r="W202" s="3"/>
      <c r="X202" s="57"/>
    </row>
    <row r="203" spans="1:24" ht="15" customHeight="1" x14ac:dyDescent="0.25">
      <c r="A203" s="14"/>
      <c r="B203" s="36"/>
      <c r="C203" s="17" t="str">
        <f>C134</f>
        <v>ROIC</v>
      </c>
      <c r="D203" s="17"/>
      <c r="E203" s="293" t="b">
        <v>1</v>
      </c>
      <c r="F203" s="17"/>
      <c r="G203" s="17" t="str">
        <f>G134</f>
        <v>%</v>
      </c>
      <c r="H203" s="17"/>
      <c r="I203" s="17"/>
      <c r="J203" s="17"/>
      <c r="K203" s="17"/>
      <c r="L203" s="17"/>
      <c r="M203" s="120"/>
      <c r="N203" s="296">
        <f t="shared" ref="N203:S203" si="117">IF($E203,N134,NA())</f>
        <v>0</v>
      </c>
      <c r="O203" s="296">
        <f t="shared" si="117"/>
        <v>0.28761379679436305</v>
      </c>
      <c r="P203" s="296">
        <f t="shared" si="117"/>
        <v>0.44151759971508298</v>
      </c>
      <c r="Q203" s="296">
        <f t="shared" si="117"/>
        <v>0.58710923872226928</v>
      </c>
      <c r="R203" s="296">
        <f t="shared" si="117"/>
        <v>0.66808390277431307</v>
      </c>
      <c r="S203" s="296">
        <f t="shared" si="117"/>
        <v>0.73472299654983764</v>
      </c>
      <c r="T203" s="296"/>
      <c r="U203" s="297"/>
      <c r="V203" s="209"/>
      <c r="W203" s="3"/>
      <c r="X203" s="57"/>
    </row>
    <row r="204" spans="1:24" ht="15" customHeight="1" x14ac:dyDescent="0.25">
      <c r="A204" s="14"/>
      <c r="B204" s="36"/>
      <c r="C204" s="17"/>
      <c r="D204" s="17"/>
      <c r="E204" s="298"/>
      <c r="F204" s="17"/>
      <c r="G204" s="17"/>
      <c r="H204" s="17"/>
      <c r="I204" s="17"/>
      <c r="J204" s="17"/>
      <c r="K204" s="206"/>
      <c r="L204" s="206"/>
      <c r="M204" s="207"/>
      <c r="N204" s="202"/>
      <c r="O204" s="202"/>
      <c r="P204" s="202"/>
      <c r="Q204" s="202"/>
      <c r="R204" s="202"/>
      <c r="S204" s="202"/>
      <c r="T204" s="202"/>
      <c r="U204" s="206"/>
      <c r="V204" s="209"/>
      <c r="W204" s="3"/>
      <c r="X204" s="57"/>
    </row>
    <row r="205" spans="1:24" ht="15" customHeight="1" x14ac:dyDescent="0.25">
      <c r="A205" s="14"/>
      <c r="B205" s="36"/>
      <c r="C205" s="42" t="s">
        <v>61</v>
      </c>
      <c r="D205" s="17"/>
      <c r="E205" s="298"/>
      <c r="F205" s="17"/>
      <c r="G205" s="17"/>
      <c r="H205" s="17"/>
      <c r="I205" s="17"/>
      <c r="J205" s="17"/>
      <c r="K205" s="299"/>
      <c r="L205" s="299"/>
      <c r="M205" s="300"/>
      <c r="N205" s="294"/>
      <c r="O205" s="294"/>
      <c r="P205" s="294"/>
      <c r="Q205" s="294"/>
      <c r="R205" s="294"/>
      <c r="S205" s="294"/>
      <c r="T205" s="294"/>
      <c r="U205" s="295"/>
      <c r="V205" s="209"/>
      <c r="W205" s="3"/>
      <c r="X205" s="57"/>
    </row>
    <row r="206" spans="1:24" ht="15" customHeight="1" x14ac:dyDescent="0.25">
      <c r="A206" s="14"/>
      <c r="B206" s="36"/>
      <c r="C206" s="17" t="str">
        <f>C154</f>
        <v>Net Working Capital</v>
      </c>
      <c r="D206" s="17"/>
      <c r="E206" s="293" t="b">
        <v>1</v>
      </c>
      <c r="F206" s="17"/>
      <c r="G206" s="17" t="str">
        <f>G154</f>
        <v>USD</v>
      </c>
      <c r="H206" s="17"/>
      <c r="I206" s="17"/>
      <c r="J206" s="17"/>
      <c r="K206" s="299"/>
      <c r="L206" s="299"/>
      <c r="M206" s="300"/>
      <c r="N206" s="294">
        <f t="shared" ref="N206:S207" si="118">IF($E206,N154,NA())</f>
        <v>409684.89726027404</v>
      </c>
      <c r="O206" s="294">
        <f t="shared" si="118"/>
        <v>434063.76212328766</v>
      </c>
      <c r="P206" s="294">
        <f t="shared" si="118"/>
        <v>466618.54428253422</v>
      </c>
      <c r="Q206" s="294">
        <f t="shared" si="118"/>
        <v>489840.9321622696</v>
      </c>
      <c r="R206" s="294">
        <f t="shared" si="118"/>
        <v>515700.77516116761</v>
      </c>
      <c r="S206" s="294">
        <f t="shared" si="118"/>
        <v>541485.81391922617</v>
      </c>
      <c r="T206" s="294"/>
      <c r="U206" s="295"/>
      <c r="V206" s="209"/>
      <c r="W206" s="3"/>
      <c r="X206" s="57"/>
    </row>
    <row r="207" spans="1:24" ht="15" customHeight="1" x14ac:dyDescent="0.25">
      <c r="A207" s="14"/>
      <c r="B207" s="36"/>
      <c r="C207" s="17" t="str">
        <f>C155</f>
        <v>Fixed Assets</v>
      </c>
      <c r="D207" s="17"/>
      <c r="E207" s="293" t="b">
        <v>1</v>
      </c>
      <c r="F207" s="17"/>
      <c r="G207" s="17" t="str">
        <f>G155</f>
        <v>USD</v>
      </c>
      <c r="H207" s="17"/>
      <c r="I207" s="17"/>
      <c r="J207" s="17"/>
      <c r="K207" s="299"/>
      <c r="L207" s="299"/>
      <c r="M207" s="300"/>
      <c r="N207" s="294">
        <f t="shared" si="118"/>
        <v>1500000</v>
      </c>
      <c r="O207" s="294">
        <f t="shared" si="118"/>
        <v>1200000</v>
      </c>
      <c r="P207" s="294">
        <f t="shared" si="118"/>
        <v>900000</v>
      </c>
      <c r="Q207" s="294">
        <f t="shared" si="118"/>
        <v>600000</v>
      </c>
      <c r="R207" s="294">
        <f t="shared" si="118"/>
        <v>550000</v>
      </c>
      <c r="S207" s="294">
        <f t="shared" si="118"/>
        <v>200000</v>
      </c>
      <c r="T207" s="294"/>
      <c r="U207" s="295"/>
      <c r="V207" s="209"/>
      <c r="W207" s="3"/>
      <c r="X207" s="57"/>
    </row>
    <row r="208" spans="1:24" ht="15" customHeight="1" x14ac:dyDescent="0.25">
      <c r="A208" s="14"/>
      <c r="B208" s="36"/>
      <c r="C208" s="17" t="str">
        <f>C41</f>
        <v>Cash</v>
      </c>
      <c r="D208" s="17"/>
      <c r="E208" s="293" t="b">
        <v>1</v>
      </c>
      <c r="F208" s="17"/>
      <c r="G208" s="17" t="str">
        <f>G41</f>
        <v>USD</v>
      </c>
      <c r="H208" s="17"/>
      <c r="I208" s="17"/>
      <c r="J208" s="17"/>
      <c r="K208" s="299"/>
      <c r="L208" s="299"/>
      <c r="M208" s="300"/>
      <c r="N208" s="294">
        <f t="shared" ref="N208:S208" si="119">IF($E208,N41,NA())</f>
        <v>600000</v>
      </c>
      <c r="O208" s="294">
        <f t="shared" si="119"/>
        <v>971699.34309153142</v>
      </c>
      <c r="P208" s="294">
        <f t="shared" si="119"/>
        <v>1382499.7282334212</v>
      </c>
      <c r="Q208" s="294">
        <f t="shared" si="119"/>
        <v>1847644.6089623505</v>
      </c>
      <c r="R208" s="294">
        <f t="shared" si="119"/>
        <v>2063344.9667109593</v>
      </c>
      <c r="S208" s="294">
        <f t="shared" si="119"/>
        <v>2543752.2190717403</v>
      </c>
      <c r="T208" s="294"/>
      <c r="U208" s="295"/>
      <c r="V208" s="209"/>
      <c r="W208" s="3"/>
      <c r="X208" s="57"/>
    </row>
    <row r="209" spans="1:24" ht="15" customHeight="1" x14ac:dyDescent="0.25">
      <c r="A209" s="14"/>
      <c r="B209" s="36"/>
      <c r="C209" s="17"/>
      <c r="D209" s="17"/>
      <c r="E209" s="298"/>
      <c r="F209" s="17"/>
      <c r="G209" s="17"/>
      <c r="H209" s="17"/>
      <c r="I209" s="17"/>
      <c r="J209" s="17"/>
      <c r="K209" s="299"/>
      <c r="L209" s="299"/>
      <c r="M209" s="300"/>
      <c r="N209" s="294"/>
      <c r="O209" s="294"/>
      <c r="P209" s="294"/>
      <c r="Q209" s="294"/>
      <c r="R209" s="294"/>
      <c r="S209" s="294"/>
      <c r="T209" s="294"/>
      <c r="U209" s="295"/>
      <c r="V209" s="209"/>
      <c r="W209" s="3"/>
      <c r="X209" s="57"/>
    </row>
    <row r="210" spans="1:24" ht="15" customHeight="1" x14ac:dyDescent="0.25">
      <c r="A210" s="14"/>
      <c r="B210" s="36"/>
      <c r="C210" s="42" t="s">
        <v>62</v>
      </c>
      <c r="D210" s="17"/>
      <c r="E210" s="298"/>
      <c r="F210" s="17"/>
      <c r="G210" s="17"/>
      <c r="H210" s="17"/>
      <c r="I210" s="17"/>
      <c r="J210" s="17"/>
      <c r="K210" s="206"/>
      <c r="L210" s="206"/>
      <c r="M210" s="34">
        <f>O196</f>
        <v>1</v>
      </c>
      <c r="N210" s="33">
        <f t="shared" ref="N210:R210" si="120">O196</f>
        <v>1</v>
      </c>
      <c r="O210" s="33">
        <f t="shared" si="120"/>
        <v>2</v>
      </c>
      <c r="P210" s="33">
        <f t="shared" si="120"/>
        <v>3</v>
      </c>
      <c r="Q210" s="33">
        <f t="shared" si="120"/>
        <v>4</v>
      </c>
      <c r="R210" s="33">
        <f t="shared" si="120"/>
        <v>5</v>
      </c>
      <c r="S210" s="33" t="s">
        <v>63</v>
      </c>
      <c r="T210" s="33"/>
      <c r="U210" s="301"/>
      <c r="V210" s="209"/>
      <c r="W210" s="3"/>
      <c r="X210" s="57"/>
    </row>
    <row r="211" spans="1:24" ht="15" customHeight="1" x14ac:dyDescent="0.25">
      <c r="A211" s="14"/>
      <c r="B211" s="36"/>
      <c r="C211" s="17" t="s">
        <v>122</v>
      </c>
      <c r="D211" s="17"/>
      <c r="E211" s="293" t="b">
        <v>1</v>
      </c>
      <c r="F211" s="17"/>
      <c r="G211" s="17" t="str">
        <f>G83</f>
        <v>USD</v>
      </c>
      <c r="H211" s="17"/>
      <c r="I211" s="17"/>
      <c r="J211" s="17"/>
      <c r="K211" s="206"/>
      <c r="L211" s="206"/>
      <c r="M211" s="302">
        <v>876134.64650062227</v>
      </c>
      <c r="N211" s="294">
        <v>876134.64650062227</v>
      </c>
      <c r="O211" s="294">
        <v>929872.24255666218</v>
      </c>
      <c r="P211" s="294">
        <v>997882.63870407117</v>
      </c>
      <c r="Q211" s="294">
        <v>744181.51521182596</v>
      </c>
      <c r="R211" s="294">
        <v>988105.73426885519</v>
      </c>
      <c r="S211" s="294">
        <v>4379465.0854245415</v>
      </c>
      <c r="T211" s="294"/>
      <c r="U211" s="295"/>
      <c r="V211" s="209"/>
      <c r="W211" s="3"/>
      <c r="X211" s="57"/>
    </row>
    <row r="212" spans="1:24" ht="15" customHeight="1" x14ac:dyDescent="0.25">
      <c r="A212" s="14"/>
      <c r="B212" s="36"/>
      <c r="C212" s="17" t="s">
        <v>123</v>
      </c>
      <c r="D212" s="17"/>
      <c r="E212" s="293" t="b">
        <v>1</v>
      </c>
      <c r="F212" s="17"/>
      <c r="G212" s="17" t="str">
        <f>G87</f>
        <v>USD</v>
      </c>
      <c r="H212" s="17"/>
      <c r="I212" s="17"/>
      <c r="J212" s="17"/>
      <c r="K212" s="206"/>
      <c r="L212" s="206"/>
      <c r="M212" s="302"/>
      <c r="N212" s="294"/>
      <c r="O212" s="294"/>
      <c r="P212" s="294"/>
      <c r="Q212" s="294"/>
      <c r="R212" s="14"/>
      <c r="S212" s="14"/>
      <c r="T212" s="14"/>
      <c r="U212" s="295"/>
      <c r="V212" s="209"/>
      <c r="W212" s="3"/>
      <c r="X212" s="57"/>
    </row>
    <row r="213" spans="1:24" ht="15" customHeight="1" x14ac:dyDescent="0.25">
      <c r="A213" s="14"/>
      <c r="B213" s="36"/>
      <c r="C213" s="17" t="s">
        <v>64</v>
      </c>
      <c r="D213" s="17"/>
      <c r="E213" s="298"/>
      <c r="F213" s="17"/>
      <c r="G213" s="17" t="s">
        <v>45</v>
      </c>
      <c r="H213" s="17"/>
      <c r="I213" s="17"/>
      <c r="J213" s="17"/>
      <c r="K213" s="299"/>
      <c r="L213" s="299"/>
      <c r="M213" s="303">
        <v>0.95384203370898968</v>
      </c>
      <c r="N213" s="304">
        <v>0.95384203370898968</v>
      </c>
      <c r="O213" s="304">
        <v>0.86781943246581561</v>
      </c>
      <c r="P213" s="304">
        <v>0.78955481175099818</v>
      </c>
      <c r="Q213" s="304">
        <v>0.71834851518343978</v>
      </c>
      <c r="R213" s="304">
        <v>0.65356398515495484</v>
      </c>
      <c r="S213" s="304">
        <f>R213</f>
        <v>0.65356398515495484</v>
      </c>
      <c r="T213" s="304"/>
      <c r="U213" s="305"/>
      <c r="V213" s="209"/>
      <c r="W213" s="3"/>
      <c r="X213" s="57"/>
    </row>
    <row r="214" spans="1:24" ht="15" customHeight="1" x14ac:dyDescent="0.25">
      <c r="A214" s="14"/>
      <c r="B214" s="36"/>
      <c r="C214" s="1" t="s">
        <v>124</v>
      </c>
      <c r="E214" s="293" t="b">
        <v>1</v>
      </c>
      <c r="G214" s="122" t="s">
        <v>94</v>
      </c>
      <c r="M214" s="302">
        <f>IF($E214,M211*M$213,NA())</f>
        <v>835694.0530210603</v>
      </c>
      <c r="N214" s="294">
        <f t="shared" ref="N214:S214" si="121">IF($E214,N211*N$213,NA())</f>
        <v>835694.0530210603</v>
      </c>
      <c r="O214" s="294">
        <f t="shared" si="121"/>
        <v>806961.20180123777</v>
      </c>
      <c r="P214" s="294">
        <f t="shared" si="121"/>
        <v>787883.03895158228</v>
      </c>
      <c r="Q214" s="294">
        <f t="shared" si="121"/>
        <v>534581.68647937756</v>
      </c>
      <c r="R214" s="294">
        <f t="shared" si="121"/>
        <v>645790.32144321583</v>
      </c>
      <c r="S214" s="294">
        <f t="shared" si="121"/>
        <v>2862260.6540770479</v>
      </c>
      <c r="T214" s="294"/>
      <c r="U214" s="295"/>
      <c r="V214" s="209"/>
      <c r="W214" s="3"/>
      <c r="X214" s="57"/>
    </row>
    <row r="215" spans="1:24" ht="15" customHeight="1" x14ac:dyDescent="0.25">
      <c r="A215" s="14"/>
      <c r="B215" s="36"/>
      <c r="E215" s="298"/>
      <c r="G215" s="122"/>
      <c r="M215" s="302"/>
      <c r="N215" s="294"/>
      <c r="O215" s="294"/>
      <c r="P215" s="294"/>
      <c r="Q215" s="294"/>
      <c r="R215" s="14"/>
      <c r="S215" s="14"/>
      <c r="T215" s="14"/>
      <c r="U215" s="295"/>
      <c r="V215" s="209"/>
      <c r="W215" s="3"/>
      <c r="X215" s="57"/>
    </row>
    <row r="216" spans="1:24" ht="15" customHeight="1" x14ac:dyDescent="0.25">
      <c r="A216" s="14"/>
      <c r="B216" s="36"/>
      <c r="E216" s="306"/>
      <c r="M216" s="219"/>
      <c r="N216" s="28"/>
      <c r="O216" s="28"/>
      <c r="P216" s="28"/>
      <c r="Q216" s="358" t="s">
        <v>125</v>
      </c>
      <c r="R216" s="358"/>
      <c r="S216" s="358"/>
      <c r="T216" s="307"/>
      <c r="U216" s="16"/>
      <c r="V216" s="209"/>
      <c r="W216" s="3"/>
      <c r="X216" s="57"/>
    </row>
    <row r="217" spans="1:24" ht="15" customHeight="1" x14ac:dyDescent="0.25">
      <c r="A217" s="14"/>
      <c r="B217" s="36"/>
      <c r="C217" s="42" t="s">
        <v>65</v>
      </c>
      <c r="E217" s="306"/>
      <c r="M217" s="219"/>
      <c r="N217" s="308">
        <v>0</v>
      </c>
      <c r="O217" s="308" t="s">
        <v>126</v>
      </c>
      <c r="P217" s="308" t="s">
        <v>127</v>
      </c>
      <c r="Q217" s="358"/>
      <c r="R217" s="358"/>
      <c r="S217" s="358"/>
      <c r="T217" s="307"/>
      <c r="U217" s="309"/>
      <c r="V217" s="209"/>
      <c r="W217" s="3"/>
      <c r="X217" s="57"/>
    </row>
    <row r="218" spans="1:24" ht="15" customHeight="1" x14ac:dyDescent="0.25">
      <c r="A218" s="14"/>
      <c r="B218" s="36"/>
      <c r="C218" s="17" t="str">
        <f>O217&amp;" "&amp;O218</f>
        <v>TV (Year 5)</v>
      </c>
      <c r="D218" s="14"/>
      <c r="E218" s="293" t="b">
        <v>1</v>
      </c>
      <c r="M218" s="219"/>
      <c r="N218" s="310" t="s">
        <v>128</v>
      </c>
      <c r="O218" s="310" t="s">
        <v>129</v>
      </c>
      <c r="P218" s="310" t="s">
        <v>130</v>
      </c>
      <c r="Q218" s="311" t="str">
        <f>O218</f>
        <v>(Year 5)</v>
      </c>
      <c r="U218" s="312"/>
      <c r="V218" s="209"/>
      <c r="W218" s="3"/>
      <c r="X218" s="57"/>
    </row>
    <row r="219" spans="1:24" ht="15" customHeight="1" x14ac:dyDescent="0.25">
      <c r="A219" s="14"/>
      <c r="B219" s="36"/>
      <c r="C219" s="17" t="str">
        <f>P217&amp;" "&amp;P218</f>
        <v>PV of TV (Year 0)</v>
      </c>
      <c r="E219" s="293" t="b">
        <v>1</v>
      </c>
      <c r="M219" s="219"/>
      <c r="N219" s="294"/>
      <c r="O219" s="294"/>
      <c r="P219" s="294"/>
      <c r="U219" s="295"/>
      <c r="V219" s="209"/>
      <c r="W219" s="3"/>
      <c r="X219" s="57"/>
    </row>
    <row r="220" spans="1:24" ht="15" customHeight="1" x14ac:dyDescent="0.25">
      <c r="A220" s="14"/>
      <c r="B220" s="36"/>
      <c r="C220" s="42"/>
      <c r="E220" s="306"/>
      <c r="M220" s="219"/>
      <c r="N220" s="294"/>
      <c r="O220" s="294"/>
      <c r="P220" s="294"/>
      <c r="U220" s="295"/>
      <c r="V220" s="209"/>
      <c r="W220" s="3"/>
      <c r="X220" s="57"/>
    </row>
    <row r="221" spans="1:24" ht="15" customHeight="1" x14ac:dyDescent="0.25">
      <c r="A221" s="14"/>
      <c r="B221" s="36"/>
      <c r="C221" s="17" t="s">
        <v>131</v>
      </c>
      <c r="D221" s="17"/>
      <c r="E221" s="293" t="b">
        <v>1</v>
      </c>
      <c r="F221" s="17"/>
      <c r="G221" s="122" t="s">
        <v>94</v>
      </c>
      <c r="H221" s="17"/>
      <c r="I221" s="17"/>
      <c r="J221" s="17"/>
      <c r="K221" s="206"/>
      <c r="L221" s="206"/>
      <c r="M221" s="207"/>
      <c r="N221" s="313" t="s">
        <v>94</v>
      </c>
      <c r="O221" s="314">
        <v>6697510.9510911852</v>
      </c>
      <c r="P221" s="314">
        <v>4377251.9478141069</v>
      </c>
      <c r="Q221" s="315">
        <v>4379465.0854245415</v>
      </c>
      <c r="R221" s="294"/>
      <c r="S221" s="294"/>
      <c r="T221" s="294"/>
      <c r="U221" s="316"/>
      <c r="V221" s="209"/>
      <c r="W221" s="3"/>
      <c r="X221" s="57"/>
    </row>
    <row r="222" spans="1:24" ht="15" customHeight="1" x14ac:dyDescent="0.25">
      <c r="A222" s="14"/>
      <c r="B222" s="36"/>
      <c r="C222" s="17" t="s">
        <v>132</v>
      </c>
      <c r="D222" s="17"/>
      <c r="E222" s="293" t="b">
        <v>1</v>
      </c>
      <c r="F222" s="17"/>
      <c r="G222" s="122" t="s">
        <v>94</v>
      </c>
      <c r="H222" s="17"/>
      <c r="I222" s="17"/>
      <c r="J222" s="17"/>
      <c r="K222" s="206"/>
      <c r="L222" s="206"/>
      <c r="M222" s="207"/>
      <c r="N222" s="313" t="s">
        <v>94</v>
      </c>
      <c r="O222" s="314">
        <v>13663519.4283383</v>
      </c>
      <c r="P222" s="314">
        <v>8929984.2088269293</v>
      </c>
      <c r="Q222" s="315">
        <v>4379465.0854245415</v>
      </c>
      <c r="R222" s="294"/>
      <c r="S222" s="294"/>
      <c r="T222" s="294"/>
      <c r="U222" s="316"/>
      <c r="V222" s="209"/>
      <c r="W222" s="3"/>
      <c r="X222" s="57"/>
    </row>
    <row r="223" spans="1:24" ht="15" customHeight="1" x14ac:dyDescent="0.25">
      <c r="A223" s="14"/>
      <c r="B223" s="36"/>
      <c r="C223" s="17" t="s">
        <v>133</v>
      </c>
      <c r="D223" s="17"/>
      <c r="E223" s="293" t="b">
        <v>1</v>
      </c>
      <c r="F223" s="17"/>
      <c r="G223" s="122" t="s">
        <v>94</v>
      </c>
      <c r="H223" s="17"/>
      <c r="I223" s="17"/>
      <c r="J223" s="17"/>
      <c r="K223" s="206"/>
      <c r="L223" s="206"/>
      <c r="M223" s="207"/>
      <c r="N223" s="313" t="s">
        <v>94</v>
      </c>
      <c r="O223" s="314">
        <v>16867483.058766715</v>
      </c>
      <c r="P223" s="314">
        <v>11023979.447421262</v>
      </c>
      <c r="Q223" s="315">
        <v>4379465.0854245415</v>
      </c>
      <c r="R223" s="294"/>
      <c r="S223" s="294"/>
      <c r="T223" s="294"/>
      <c r="U223" s="316"/>
      <c r="V223" s="209"/>
      <c r="W223" s="3"/>
      <c r="X223" s="57"/>
    </row>
    <row r="224" spans="1:24" ht="15" customHeight="1" x14ac:dyDescent="0.25">
      <c r="A224" s="14"/>
      <c r="B224" s="36"/>
      <c r="C224" s="17" t="s">
        <v>134</v>
      </c>
      <c r="D224" s="17"/>
      <c r="E224" s="293" t="b">
        <v>1</v>
      </c>
      <c r="F224" s="17"/>
      <c r="G224" s="122" t="s">
        <v>94</v>
      </c>
      <c r="H224" s="17"/>
      <c r="I224" s="17"/>
      <c r="J224" s="17"/>
      <c r="K224" s="206"/>
      <c r="L224" s="206"/>
      <c r="M224" s="207"/>
      <c r="N224" s="313" t="s">
        <v>94</v>
      </c>
      <c r="O224" s="314">
        <v>17601845.489648439</v>
      </c>
      <c r="P224" s="314">
        <v>11503932.284296401</v>
      </c>
      <c r="Q224" s="315">
        <v>4379465.0854245415</v>
      </c>
      <c r="R224" s="294"/>
      <c r="S224" s="294"/>
      <c r="T224" s="294"/>
      <c r="U224" s="316"/>
      <c r="V224" s="209"/>
      <c r="W224" s="3"/>
      <c r="X224" s="57"/>
    </row>
    <row r="225" spans="1:25" ht="15" customHeight="1" x14ac:dyDescent="0.25">
      <c r="A225" s="14"/>
      <c r="B225" s="36"/>
      <c r="C225" s="17" t="s">
        <v>135</v>
      </c>
      <c r="D225" s="17"/>
      <c r="E225" s="293" t="b">
        <v>1</v>
      </c>
      <c r="F225" s="17"/>
      <c r="G225" s="122" t="s">
        <v>94</v>
      </c>
      <c r="H225" s="17"/>
      <c r="I225" s="17"/>
      <c r="J225" s="17"/>
      <c r="K225" s="206"/>
      <c r="L225" s="206"/>
      <c r="M225" s="207"/>
      <c r="N225" s="313" t="s">
        <v>94</v>
      </c>
      <c r="O225" s="314">
        <v>7411126.1842153091</v>
      </c>
      <c r="P225" s="314">
        <v>4843645.1634419914</v>
      </c>
      <c r="Q225" s="315">
        <v>4379465.0854245415</v>
      </c>
      <c r="R225" s="294"/>
      <c r="S225" s="294"/>
      <c r="T225" s="294"/>
      <c r="U225" s="316"/>
      <c r="V225" s="209"/>
      <c r="W225" s="3"/>
      <c r="X225" s="57"/>
    </row>
    <row r="226" spans="1:25" ht="15" customHeight="1" x14ac:dyDescent="0.25">
      <c r="A226" s="14"/>
      <c r="B226" s="36"/>
      <c r="C226" s="17" t="s">
        <v>136</v>
      </c>
      <c r="D226" s="17"/>
      <c r="E226" s="293" t="b">
        <v>1</v>
      </c>
      <c r="F226" s="17"/>
      <c r="G226" s="122" t="s">
        <v>94</v>
      </c>
      <c r="H226" s="17"/>
      <c r="I226" s="17"/>
      <c r="J226" s="17"/>
      <c r="K226" s="206"/>
      <c r="L226" s="206"/>
      <c r="M226" s="207"/>
      <c r="N226" s="313" t="s">
        <v>94</v>
      </c>
      <c r="O226" s="314">
        <v>6196313.881584527</v>
      </c>
      <c r="P226" s="314">
        <v>4049687.5937193502</v>
      </c>
      <c r="Q226" s="315">
        <v>4379465.0854245415</v>
      </c>
      <c r="R226" s="294"/>
      <c r="S226" s="294"/>
      <c r="T226" s="294"/>
      <c r="U226" s="316"/>
      <c r="V226" s="209"/>
      <c r="W226" s="3"/>
      <c r="X226" s="57"/>
    </row>
    <row r="227" spans="1:25" ht="15" customHeight="1" x14ac:dyDescent="0.25">
      <c r="A227" s="14"/>
      <c r="B227" s="36"/>
      <c r="C227" s="17" t="s">
        <v>137</v>
      </c>
      <c r="D227" s="17"/>
      <c r="E227" s="293" t="b">
        <v>1</v>
      </c>
      <c r="F227" s="17"/>
      <c r="G227" s="122" t="s">
        <v>94</v>
      </c>
      <c r="H227" s="17"/>
      <c r="I227" s="17"/>
      <c r="J227" s="17"/>
      <c r="K227" s="206"/>
      <c r="L227" s="206"/>
      <c r="M227" s="207"/>
      <c r="N227" s="313" t="s">
        <v>94</v>
      </c>
      <c r="O227" s="314">
        <v>1214764.1460628277</v>
      </c>
      <c r="P227" s="314">
        <v>793926.09632417734</v>
      </c>
      <c r="Q227" s="315">
        <v>4379465.0854245415</v>
      </c>
      <c r="R227" s="294"/>
      <c r="S227" s="294"/>
      <c r="T227" s="294"/>
      <c r="U227" s="316"/>
      <c r="V227" s="209"/>
      <c r="W227" s="3"/>
      <c r="X227" s="57"/>
    </row>
    <row r="228" spans="1:25" ht="15" customHeight="1" x14ac:dyDescent="0.25">
      <c r="A228" s="14"/>
      <c r="B228" s="36"/>
      <c r="C228" s="17" t="s">
        <v>138</v>
      </c>
      <c r="D228" s="17"/>
      <c r="E228" s="293" t="b">
        <v>1</v>
      </c>
      <c r="F228" s="17"/>
      <c r="G228" s="122" t="s">
        <v>94</v>
      </c>
      <c r="H228" s="17"/>
      <c r="I228" s="17"/>
      <c r="J228" s="17"/>
      <c r="K228" s="206"/>
      <c r="L228" s="206"/>
      <c r="M228" s="207"/>
      <c r="N228" s="313" t="s">
        <v>94</v>
      </c>
      <c r="O228" s="314">
        <v>3526723.8469101926</v>
      </c>
      <c r="P228" s="314">
        <v>2304939.6919276384</v>
      </c>
      <c r="Q228" s="315">
        <v>4379465.0854245415</v>
      </c>
      <c r="R228" s="294"/>
      <c r="S228" s="294"/>
      <c r="T228" s="294"/>
      <c r="U228" s="316"/>
      <c r="V228" s="209"/>
      <c r="W228" s="3"/>
      <c r="X228" s="57"/>
    </row>
    <row r="229" spans="1:25" ht="15" customHeight="1" x14ac:dyDescent="0.25">
      <c r="A229" s="14"/>
      <c r="B229" s="36"/>
      <c r="C229" s="17" t="s">
        <v>139</v>
      </c>
      <c r="D229" s="17"/>
      <c r="E229" s="293" t="b">
        <v>1</v>
      </c>
      <c r="F229" s="17"/>
      <c r="G229" s="122" t="s">
        <v>94</v>
      </c>
      <c r="H229" s="17"/>
      <c r="I229" s="17"/>
      <c r="J229" s="17"/>
      <c r="K229" s="206"/>
      <c r="L229" s="206"/>
      <c r="M229" s="207"/>
      <c r="N229" s="313" t="s">
        <v>94</v>
      </c>
      <c r="O229" s="314">
        <v>965088.17593289493</v>
      </c>
      <c r="P229" s="314">
        <v>630746.87428862904</v>
      </c>
      <c r="Q229" s="315">
        <v>4379465.0854245415</v>
      </c>
      <c r="R229" s="294"/>
      <c r="S229" s="294"/>
      <c r="T229" s="294"/>
      <c r="U229" s="316"/>
      <c r="V229" s="209"/>
      <c r="W229" s="3"/>
      <c r="X229" s="57"/>
    </row>
    <row r="230" spans="1:25" ht="15" customHeight="1" x14ac:dyDescent="0.25">
      <c r="A230" s="14"/>
      <c r="B230" s="36"/>
      <c r="C230" s="17" t="s">
        <v>140</v>
      </c>
      <c r="D230" s="17"/>
      <c r="E230" s="293" t="b">
        <v>1</v>
      </c>
      <c r="F230" s="17"/>
      <c r="G230" s="122" t="s">
        <v>94</v>
      </c>
      <c r="H230" s="17"/>
      <c r="I230" s="17"/>
      <c r="J230" s="17"/>
      <c r="K230" s="206"/>
      <c r="L230" s="206"/>
      <c r="M230" s="207"/>
      <c r="N230" s="313" t="s">
        <v>94</v>
      </c>
      <c r="O230" s="314">
        <v>4379465.0854245415</v>
      </c>
      <c r="P230" s="314">
        <v>2862260.6540770479</v>
      </c>
      <c r="Q230" s="315">
        <v>4379465.0854245415</v>
      </c>
      <c r="R230" s="294"/>
      <c r="S230" s="294"/>
      <c r="T230" s="294"/>
      <c r="U230" s="316"/>
      <c r="V230" s="209"/>
      <c r="W230" s="3"/>
      <c r="X230" s="57"/>
    </row>
    <row r="231" spans="1:25" ht="15" customHeight="1" x14ac:dyDescent="0.25">
      <c r="A231" s="14"/>
      <c r="B231" s="36"/>
      <c r="C231" s="17"/>
      <c r="D231" s="17"/>
      <c r="E231" s="17"/>
      <c r="F231" s="17"/>
      <c r="G231" s="17"/>
      <c r="H231" s="17"/>
      <c r="I231" s="17"/>
      <c r="J231" s="17"/>
      <c r="K231" s="206"/>
      <c r="L231" s="206"/>
      <c r="M231" s="207"/>
      <c r="N231" s="294"/>
      <c r="O231" s="294"/>
      <c r="P231" s="294"/>
      <c r="Q231" s="317"/>
      <c r="R231" s="294"/>
      <c r="S231" s="294"/>
      <c r="T231" s="294"/>
      <c r="U231" s="294"/>
      <c r="V231" s="209"/>
      <c r="W231" s="3"/>
      <c r="X231" s="57"/>
    </row>
    <row r="232" spans="1:25" ht="15" customHeight="1" x14ac:dyDescent="0.25">
      <c r="A232" s="14"/>
      <c r="B232" s="36"/>
      <c r="C232" s="17"/>
      <c r="D232" s="17"/>
      <c r="E232" s="17"/>
      <c r="F232" s="17"/>
      <c r="G232" s="17"/>
      <c r="H232" s="17"/>
      <c r="I232" s="17"/>
      <c r="J232" s="17"/>
      <c r="K232" s="206"/>
      <c r="L232" s="206"/>
      <c r="M232" s="207"/>
      <c r="N232" s="294"/>
      <c r="O232" s="294"/>
      <c r="P232" s="294"/>
      <c r="Q232" s="294"/>
      <c r="R232" s="294"/>
      <c r="S232" s="294"/>
      <c r="T232" s="294"/>
      <c r="U232" s="294"/>
      <c r="V232" s="209"/>
      <c r="W232" s="3"/>
      <c r="X232" s="57"/>
    </row>
    <row r="233" spans="1:25" s="1" customFormat="1" ht="15" customHeight="1" collapsed="1" x14ac:dyDescent="0.25">
      <c r="B233" s="112"/>
      <c r="C233" s="198"/>
      <c r="D233" s="198"/>
      <c r="E233" s="198"/>
      <c r="F233" s="198"/>
      <c r="G233" s="198"/>
      <c r="H233" s="198"/>
      <c r="I233" s="198"/>
      <c r="J233" s="198"/>
      <c r="K233" s="199"/>
      <c r="L233" s="199"/>
      <c r="M233" s="200"/>
      <c r="N233" s="199"/>
      <c r="O233" s="199"/>
      <c r="P233" s="199"/>
      <c r="Q233" s="199"/>
      <c r="R233" s="199"/>
      <c r="S233" s="199"/>
      <c r="T233" s="199"/>
      <c r="U233" s="199"/>
      <c r="V233" s="200"/>
      <c r="X233" s="29"/>
    </row>
    <row r="234" spans="1:25" s="1" customFormat="1" ht="15" customHeight="1" x14ac:dyDescent="0.25">
      <c r="X234" s="3"/>
    </row>
    <row r="235" spans="1:25" s="1" customFormat="1" ht="15" customHeight="1" x14ac:dyDescent="0.25">
      <c r="X235" s="3"/>
    </row>
    <row r="236" spans="1:25" s="1" customFormat="1" ht="15" customHeight="1" x14ac:dyDescent="0.25">
      <c r="X236" s="3"/>
    </row>
    <row r="237" spans="1:25" ht="15" customHeight="1" x14ac:dyDescent="0.25">
      <c r="C237" s="318" t="s">
        <v>83</v>
      </c>
      <c r="D237" s="318"/>
      <c r="E237" s="318"/>
      <c r="F237" s="2"/>
      <c r="G237" s="2"/>
      <c r="H237" s="2"/>
      <c r="I237" s="2"/>
      <c r="J237" s="2"/>
      <c r="K237" s="2"/>
      <c r="L237" s="2"/>
      <c r="M237" s="2"/>
      <c r="R237" s="2"/>
    </row>
    <row r="238" spans="1:25" s="1" customFormat="1" ht="15" customHeight="1" x14ac:dyDescent="0.25">
      <c r="C238" s="319" t="s">
        <v>84</v>
      </c>
      <c r="D238" s="320"/>
      <c r="E238" s="320"/>
      <c r="F238" s="321"/>
      <c r="G238" s="321"/>
      <c r="H238" s="321"/>
      <c r="I238" s="321"/>
      <c r="J238" s="321"/>
      <c r="K238" s="2"/>
      <c r="L238" s="2"/>
      <c r="M238" s="2"/>
      <c r="W238" s="14"/>
      <c r="X238" s="3"/>
      <c r="Y238" s="14"/>
    </row>
  </sheetData>
  <mergeCells count="1">
    <mergeCell ref="Q216:S217"/>
  </mergeCells>
  <hyperlinks>
    <hyperlink ref="C238" r:id="rId1" display="www.efinancialmodels.com" xr:uid="{E3C9312E-9275-4BAD-85E7-E4A6F2E3F542}"/>
  </hyperlinks>
  <printOptions horizontalCentered="1"/>
  <pageMargins left="0.5" right="0" top="0.5" bottom="0.5" header="0.3" footer="0.3"/>
  <pageSetup paperSize="9" scale="55" fitToHeight="0" orientation="portrait" r:id="rId2"/>
  <headerFooter>
    <oddFooter>&amp;L&amp;"Calibri,Regular"&amp;K000000Strictly private and confidential&amp;C&amp;"Calibri,Regular"&amp;K000000Page &amp;P of &amp;N&amp;R&amp;"Helvetica,Regular"&amp;12&amp;K000000&amp;F</oddFooter>
  </headerFooter>
  <rowBreaks count="1" manualBreakCount="1">
    <brk id="68" max="16383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4DD68275-F951-48B6-A61B-83060BA7A67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Professional'!O90:S90</xm:f>
              <xm:sqref>I90</xm:sqref>
            </x14:sparkline>
          </x14:sparklines>
        </x14:sparklineGroup>
        <x14:sparklineGroup manualMax="0" manualMin="0" displayEmptyCellsAs="gap" xr2:uid="{DA349601-8D4C-4379-BB9F-6B3290D3153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Professional'!K163:S163</xm:f>
              <xm:sqref>I163</xm:sqref>
            </x14:sparkline>
          </x14:sparklines>
        </x14:sparklineGroup>
        <x14:sparklineGroup manualMax="0" manualMin="0" displayEmptyCellsAs="gap" xr2:uid="{375956A6-0C89-4004-AEF8-B09FE0FA05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Professional'!K60:S60</xm:f>
              <xm:sqref>I60</xm:sqref>
            </x14:sparkline>
            <x14:sparkline>
              <xm:f>'VLOOKUP Professional'!K61:S61</xm:f>
              <xm:sqref>I61</xm:sqref>
            </x14:sparkline>
          </x14:sparklines>
        </x14:sparklineGroup>
        <x14:sparklineGroup manualMax="0" manualMin="0" displayEmptyCellsAs="gap" xr2:uid="{6F9BD231-0766-499D-BE57-F09F1028514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Professional'!K58:S58</xm:f>
              <xm:sqref>I58</xm:sqref>
            </x14:sparkline>
          </x14:sparklines>
        </x14:sparklineGroup>
        <x14:sparklineGroup manualMax="0" manualMin="0" displayEmptyCellsAs="gap" xr2:uid="{947DF870-99B6-4DF4-8CA9-89ABCFEEB3E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Professional'!K56:S56</xm:f>
              <xm:sqref>I56</xm:sqref>
            </x14:sparkline>
            <x14:sparkline>
              <xm:f>'VLOOKUP Professional'!K57:S57</xm:f>
              <xm:sqref>I57</xm:sqref>
            </x14:sparkline>
          </x14:sparklines>
        </x14:sparklineGroup>
        <x14:sparklineGroup manualMax="0" manualMin="0" displayEmptyCellsAs="gap" xr2:uid="{097340F2-A8F6-4B49-B3FD-89544B3AA8E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Professional'!K53:S53</xm:f>
              <xm:sqref>I53</xm:sqref>
            </x14:sparkline>
          </x14:sparklines>
        </x14:sparklineGroup>
        <x14:sparklineGroup manualMax="0" manualMin="0" displayEmptyCellsAs="gap" xr2:uid="{B82CEDFB-5432-422F-A16C-E9074ABB119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Professional'!K48:S48</xm:f>
              <xm:sqref>I48</xm:sqref>
            </x14:sparkline>
          </x14:sparklines>
        </x14:sparklineGroup>
        <x14:sparklineGroup manualMax="0" manualMin="0" displayEmptyCellsAs="gap" xr2:uid="{B46CE73B-B36F-4503-9461-C7D0C886A8C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Professional'!K45:S45</xm:f>
              <xm:sqref>I45</xm:sqref>
            </x14:sparkline>
          </x14:sparklines>
        </x14:sparklineGroup>
        <x14:sparklineGroup manualMax="0" manualMin="0" displayEmptyCellsAs="gap" xr2:uid="{FF98A826-427C-41DB-A83E-BA969DEAB49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Professional'!K25:S25</xm:f>
              <xm:sqref>I25</xm:sqref>
            </x14:sparkline>
          </x14:sparklines>
        </x14:sparklineGroup>
        <x14:sparklineGroup manualMax="0" manualMin="0" displayEmptyCellsAs="gap" xr2:uid="{DEA78189-289D-4A7D-897F-1919C5A2639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Professional'!K21:S21</xm:f>
              <xm:sqref>I21</xm:sqref>
            </x14:sparkline>
          </x14:sparklines>
        </x14:sparklineGroup>
        <x14:sparklineGroup manualMax="0" manualMin="0" displayEmptyCellsAs="gap" xr2:uid="{D8B402ED-E7D3-41AE-9E02-83E4B355795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Professional'!K9:S9</xm:f>
              <xm:sqref>I9</xm:sqref>
            </x14:sparkline>
          </x14:sparklines>
        </x14:sparklineGroup>
        <x14:sparklineGroup manualMax="0" manualMin="0" displayEmptyCellsAs="gap" xr2:uid="{C5433967-31F8-4504-AFF5-650CB7E0D89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Professional'!K17:S17</xm:f>
              <xm:sqref>I17</xm:sqref>
            </x14:sparkline>
            <x14:sparkline>
              <xm:f>'VLOOKUP Professional'!K18:S18</xm:f>
              <xm:sqref>I18</xm:sqref>
            </x14:sparkline>
          </x14:sparklines>
        </x14:sparklineGroup>
        <x14:sparklineGroup manualMax="0" manualMin="0" displayEmptyCellsAs="gap" xr2:uid="{A3C57126-02B6-4F10-96AC-78C353BE1A9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Professional'!O13:S13</xm:f>
              <xm:sqref>I13</xm:sqref>
            </x14:sparkline>
            <x14:sparkline>
              <xm:f>'VLOOKUP Professional'!O14:S14</xm:f>
              <xm:sqref>I14</xm:sqref>
            </x14:sparkline>
          </x14:sparklines>
        </x14:sparklineGroup>
        <x14:sparklineGroup manualMax="0" manualMin="0" displayEmptyCellsAs="gap" xr2:uid="{F96472D9-9852-4ACA-8933-E9BC9911C96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Professional'!K54:S54</xm:f>
              <xm:sqref>I54</xm:sqref>
            </x14:sparkline>
            <x14:sparkline>
              <xm:f>'VLOOKUP Professional'!K55:S55</xm:f>
              <xm:sqref>I55</xm:sqref>
            </x14:sparkline>
            <x14:sparkline>
              <xm:f>'VLOOKUP Professional'!K59:S59</xm:f>
              <xm:sqref>I59</xm:sqref>
            </x14:sparkline>
            <x14:sparkline>
              <xm:f>'VLOOKUP Professional'!K62:S62</xm:f>
              <xm:sqref>I62</xm:sqref>
            </x14:sparkline>
            <x14:sparkline>
              <xm:f>'VLOOKUP Professional'!K63:S63</xm:f>
              <xm:sqref>I63</xm:sqref>
            </x14:sparkline>
            <x14:sparkline>
              <xm:f>'VLOOKUP Professional'!K64:S64</xm:f>
              <xm:sqref>I64</xm:sqref>
            </x14:sparkline>
          </x14:sparklines>
        </x14:sparklineGroup>
        <x14:sparklineGroup manualMax="0" manualMin="0" displayEmptyCellsAs="gap" xr2:uid="{12FCDF4C-F58A-42B2-BD48-F1B6B8935EE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Professional'!K41:S41</xm:f>
              <xm:sqref>I41</xm:sqref>
            </x14:sparkline>
            <x14:sparkline>
              <xm:f>'VLOOKUP Professional'!K42:S42</xm:f>
              <xm:sqref>I42</xm:sqref>
            </x14:sparkline>
            <x14:sparkline>
              <xm:f>'VLOOKUP Professional'!K43:S43</xm:f>
              <xm:sqref>I43</xm:sqref>
            </x14:sparkline>
            <x14:sparkline>
              <xm:f>'VLOOKUP Professional'!K44:S44</xm:f>
              <xm:sqref>I44</xm:sqref>
            </x14:sparkline>
            <x14:sparkline>
              <xm:f>'VLOOKUP Professional'!K46:S46</xm:f>
              <xm:sqref>I46</xm:sqref>
            </x14:sparkline>
            <x14:sparkline>
              <xm:f>'VLOOKUP Professional'!K47:S47</xm:f>
              <xm:sqref>I47</xm:sqref>
            </x14:sparkline>
            <x14:sparkline>
              <xm:f>'VLOOKUP Professional'!K49:S49</xm:f>
              <xm:sqref>I49</xm:sqref>
            </x14:sparkline>
            <x14:sparkline>
              <xm:f>'VLOOKUP Professional'!K50:S50</xm:f>
              <xm:sqref>I50</xm:sqref>
            </x14:sparkline>
          </x14:sparklines>
        </x14:sparklineGroup>
        <x14:sparklineGroup manualMax="0" manualMin="0" displayEmptyCellsAs="gap" xr2:uid="{8E710625-8CD4-488B-9078-AD2AEDB5378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Professional'!K161:S161</xm:f>
              <xm:sqref>I161</xm:sqref>
            </x14:sparkline>
          </x14:sparklines>
        </x14:sparklineGroup>
        <x14:sparklineGroup manualMax="0" manualMin="0" displayEmptyCellsAs="gap" xr2:uid="{EFCF13D7-8453-45B4-A784-7F19842F483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Professional'!K162:S162</xm:f>
              <xm:sqref>I162</xm:sqref>
            </x14:sparkline>
          </x14:sparklines>
        </x14:sparklineGroup>
        <x14:sparklineGroup manualMax="0" manualMin="0" displayEmptyCellsAs="gap" xr2:uid="{CCB53502-B8DA-41BE-A164-2D903F5E8C4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Professional'!K10:S10</xm:f>
              <xm:sqref>I10</xm:sqref>
            </x14:sparkline>
          </x14:sparklines>
        </x14:sparklineGroup>
        <x14:sparklineGroup manualMax="0" manualMin="0" displayEmptyCellsAs="gap" xr2:uid="{AC749AB6-F6D0-493F-8FB2-87A14678206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Professional'!K158:S158</xm:f>
              <xm:sqref>I158</xm:sqref>
            </x14:sparkline>
          </x14:sparklines>
        </x14:sparklineGroup>
        <x14:sparklineGroup manualMax="0" manualMin="0" displayEmptyCellsAs="gap" xr2:uid="{B707B5C7-35B8-4402-BE91-38F0069C486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Professional'!K160:S160</xm:f>
              <xm:sqref>I160</xm:sqref>
            </x14:sparkline>
            <x14:sparkline>
              <xm:f>'VLOOKUP Professional'!K164:S164</xm:f>
              <xm:sqref>I164</xm:sqref>
            </x14:sparkline>
            <x14:sparkline>
              <xm:f>'VLOOKUP Professional'!K165:S165</xm:f>
              <xm:sqref>I165</xm:sqref>
            </x14:sparkline>
            <x14:sparkline>
              <xm:f>'VLOOKUP Professional'!K166:S166</xm:f>
              <xm:sqref>I166</xm:sqref>
            </x14:sparkline>
          </x14:sparklines>
        </x14:sparklineGroup>
        <x14:sparklineGroup manualMax="0" manualMin="0" displayEmptyCellsAs="gap" xr2:uid="{341E1320-720B-4C08-BB95-853FFC4EC49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Professional'!K115:S115</xm:f>
              <xm:sqref>I115</xm:sqref>
            </x14:sparkline>
          </x14:sparklines>
        </x14:sparklineGroup>
        <x14:sparklineGroup manualMax="0" manualMin="0" displayEmptyCellsAs="gap" xr2:uid="{8281B467-F8C7-467D-88A0-6995A38FCD7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Professional'!K148:S148</xm:f>
              <xm:sqref>I148</xm:sqref>
            </x14:sparkline>
            <x14:sparkline>
              <xm:f>'VLOOKUP Professional'!K150:S150</xm:f>
              <xm:sqref>I150</xm:sqref>
            </x14:sparkline>
            <x14:sparkline>
              <xm:f>'VLOOKUP Professional'!K151:S151</xm:f>
              <xm:sqref>I151</xm:sqref>
            </x14:sparkline>
            <x14:sparkline>
              <xm:f>'VLOOKUP Professional'!K152:S152</xm:f>
              <xm:sqref>I152</xm:sqref>
            </x14:sparkline>
          </x14:sparklines>
        </x14:sparklineGroup>
        <x14:sparklineGroup manualMax="0" manualMin="0" displayEmptyCellsAs="gap" xr2:uid="{6F63E793-3801-4528-B366-DB183133C13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Professional'!K154:S154</xm:f>
              <xm:sqref>I154</xm:sqref>
            </x14:sparkline>
            <x14:sparkline>
              <xm:f>'VLOOKUP Professional'!K155:S155</xm:f>
              <xm:sqref>I155</xm:sqref>
            </x14:sparkline>
            <x14:sparkline>
              <xm:f>'VLOOKUP Professional'!K156:S156</xm:f>
              <xm:sqref>I156</xm:sqref>
            </x14:sparkline>
          </x14:sparklines>
        </x14:sparklineGroup>
        <x14:sparklineGroup manualMax="0" manualMin="0" displayEmptyCellsAs="gap" xr2:uid="{AD3B6149-AB77-4264-9DCE-4D7473FDC90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Professional'!K110:S110</xm:f>
              <xm:sqref>I110</xm:sqref>
            </x14:sparkline>
            <x14:sparkline>
              <xm:f>'VLOOKUP Professional'!K111:S111</xm:f>
              <xm:sqref>I111</xm:sqref>
            </x14:sparkline>
            <x14:sparkline>
              <xm:f>'VLOOKUP Professional'!K112:S112</xm:f>
              <xm:sqref>I112</xm:sqref>
            </x14:sparkline>
            <x14:sparkline>
              <xm:f>'VLOOKUP Professional'!K113:S113</xm:f>
              <xm:sqref>I113</xm:sqref>
            </x14:sparkline>
            <x14:sparkline>
              <xm:f>'VLOOKUP Professional'!K114:S114</xm:f>
              <xm:sqref>I114</xm:sqref>
            </x14:sparkline>
          </x14:sparklines>
        </x14:sparklineGroup>
        <x14:sparklineGroup manualMax="0" manualMin="0" displayEmptyCellsAs="gap" xr2:uid="{E6E69F8C-FA85-4162-816E-36B639031CD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Professional'!K118:S118</xm:f>
              <xm:sqref>I118</xm:sqref>
            </x14:sparkline>
            <x14:sparkline>
              <xm:f>'VLOOKUP Professional'!K119:S119</xm:f>
              <xm:sqref>I119</xm:sqref>
            </x14:sparkline>
            <x14:sparkline>
              <xm:f>'VLOOKUP Professional'!K120:S120</xm:f>
              <xm:sqref>I120</xm:sqref>
            </x14:sparkline>
          </x14:sparklines>
        </x14:sparklineGroup>
        <x14:sparklineGroup manualMax="0" manualMin="0" displayEmptyCellsAs="gap" xr2:uid="{DFEA7D4A-6D2A-4D61-BC04-7E969A43DAB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Professional'!K123:S123</xm:f>
              <xm:sqref>I123</xm:sqref>
            </x14:sparkline>
            <x14:sparkline>
              <xm:f>'VLOOKUP Professional'!K124:S124</xm:f>
              <xm:sqref>I124</xm:sqref>
            </x14:sparkline>
            <x14:sparkline>
              <xm:f>'VLOOKUP Professional'!K125:S125</xm:f>
              <xm:sqref>I125</xm:sqref>
            </x14:sparkline>
            <x14:sparkline>
              <xm:f>'VLOOKUP Professional'!K126:S126</xm:f>
              <xm:sqref>I126</xm:sqref>
            </x14:sparkline>
            <x14:sparkline>
              <xm:f>'VLOOKUP Professional'!K127:S127</xm:f>
              <xm:sqref>I127</xm:sqref>
            </x14:sparkline>
            <x14:sparkline>
              <xm:f>'VLOOKUP Professional'!K128:S128</xm:f>
              <xm:sqref>I128</xm:sqref>
            </x14:sparkline>
            <x14:sparkline>
              <xm:f>'VLOOKUP Professional'!K129:S129</xm:f>
              <xm:sqref>I129</xm:sqref>
            </x14:sparkline>
          </x14:sparklines>
        </x14:sparklineGroup>
        <x14:sparklineGroup manualMax="0" manualMin="0" displayEmptyCellsAs="gap" xr2:uid="{03680648-B378-4890-8E95-523B5EE112F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Professional'!K22:S22</xm:f>
              <xm:sqref>I22</xm:sqref>
            </x14:sparkline>
          </x14:sparklines>
        </x14:sparklineGroup>
        <x14:sparklineGroup manualMax="0" manualMin="0" displayEmptyCellsAs="gap" xr2:uid="{0C390C4F-CA92-4CC6-AB1F-52ACDEBF35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Professional'!K26:S26</xm:f>
              <xm:sqref>I26</xm:sqref>
            </x14:sparkline>
            <x14:sparkline>
              <xm:f>'VLOOKUP Professional'!K27:S27</xm:f>
              <xm:sqref>I27</xm:sqref>
            </x14:sparkline>
          </x14:sparklines>
        </x14:sparklineGroup>
        <x14:sparklineGroup manualMax="0" manualMin="0" displayEmptyCellsAs="gap" xr2:uid="{867C7919-D200-4C2F-9173-3F99705B580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Professional'!K30:S30</xm:f>
              <xm:sqref>I30</xm:sqref>
            </x14:sparkline>
            <x14:sparkline>
              <xm:f>'VLOOKUP Professional'!K31:S31</xm:f>
              <xm:sqref>I31</xm:sqref>
            </x14:sparkline>
          </x14:sparklines>
        </x14:sparklineGroup>
        <x14:sparklineGroup manualMax="0" manualMin="0" displayEmptyCellsAs="gap" xr2:uid="{07F48F49-930B-4EED-B4E5-AD07CD85355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Professional'!K132:S132</xm:f>
              <xm:sqref>I132</xm:sqref>
            </x14:sparkline>
            <x14:sparkline>
              <xm:f>'VLOOKUP Professional'!K133:S133</xm:f>
              <xm:sqref>I133</xm:sqref>
            </x14:sparkline>
            <x14:sparkline>
              <xm:f>'VLOOKUP Professional'!K134:S134</xm:f>
              <xm:sqref>I134</xm:sqref>
            </x14:sparkline>
            <x14:sparkline>
              <xm:f>'VLOOKUP Professional'!K135:S135</xm:f>
              <xm:sqref>I135</xm:sqref>
            </x14:sparkline>
            <x14:sparkline>
              <xm:f>'VLOOKUP Professional'!K136:S136</xm:f>
              <xm:sqref>I136</xm:sqref>
            </x14:sparkline>
            <x14:sparkline>
              <xm:f>'VLOOKUP Professional'!K137:S137</xm:f>
              <xm:sqref>I137</xm:sqref>
            </x14:sparkline>
            <x14:sparkline>
              <xm:f>'VLOOKUP Professional'!K138:S138</xm:f>
              <xm:sqref>I138</xm:sqref>
            </x14:sparkline>
          </x14:sparklines>
        </x14:sparklineGroup>
        <x14:sparklineGroup manualMax="0" manualMin="0" displayEmptyCellsAs="gap" xr2:uid="{F9B92E94-300D-4EEC-BF64-BAF2DF17360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Professional'!K141:S141</xm:f>
              <xm:sqref>I141</xm:sqref>
            </x14:sparkline>
            <x14:sparkline>
              <xm:f>'VLOOKUP Professional'!K142:S142</xm:f>
              <xm:sqref>I142</xm:sqref>
            </x14:sparkline>
            <x14:sparkline>
              <xm:f>'VLOOKUP Professional'!K143:S143</xm:f>
              <xm:sqref>I143</xm:sqref>
            </x14:sparkline>
            <x14:sparkline>
              <xm:f>'VLOOKUP Professional'!K144:S144</xm:f>
              <xm:sqref>I144</xm:sqref>
            </x14:sparkline>
            <x14:sparkline>
              <xm:f>'VLOOKUP Professional'!K145:S145</xm:f>
              <xm:sqref>I145</xm:sqref>
            </x14:sparkline>
            <x14:sparkline>
              <xm:f>'VLOOKUP Professional'!K146:S146</xm:f>
              <xm:sqref>I146</xm:sqref>
            </x14:sparkline>
          </x14:sparklines>
        </x14:sparklineGroup>
        <x14:sparklineGroup manualMax="0" manualMin="0" displayEmptyCellsAs="gap" xr2:uid="{207BBEA3-12E7-4977-94F6-3C28DC33237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Professional'!O75:S75</xm:f>
              <xm:sqref>I75</xm:sqref>
            </x14:sparkline>
            <x14:sparkline>
              <xm:f>'VLOOKUP Professional'!O76:S76</xm:f>
              <xm:sqref>I76</xm:sqref>
            </x14:sparkline>
            <x14:sparkline>
              <xm:f>'VLOOKUP Professional'!O77:S77</xm:f>
              <xm:sqref>I77</xm:sqref>
            </x14:sparkline>
            <x14:sparkline>
              <xm:f>'VLOOKUP Professional'!O78:S78</xm:f>
              <xm:sqref>I78</xm:sqref>
            </x14:sparkline>
            <x14:sparkline>
              <xm:f>'VLOOKUP Professional'!O79:S79</xm:f>
              <xm:sqref>I79</xm:sqref>
            </x14:sparkline>
            <x14:sparkline>
              <xm:f>'VLOOKUP Professional'!O81:S81</xm:f>
              <xm:sqref>I81</xm:sqref>
            </x14:sparkline>
            <x14:sparkline>
              <xm:f>'VLOOKUP Professional'!O82:S82</xm:f>
              <xm:sqref>I82</xm:sqref>
            </x14:sparkline>
            <x14:sparkline>
              <xm:f>'VLOOKUP Professional'!O83:S83</xm:f>
              <xm:sqref>I83</xm:sqref>
            </x14:sparkline>
          </x14:sparklines>
        </x14:sparklineGroup>
        <x14:sparklineGroup manualMax="0" manualMin="0" displayEmptyCellsAs="gap" xr2:uid="{8F723976-1E5E-4AAB-95E3-29F9396B9ED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Professional'!O86:S86</xm:f>
              <xm:sqref>I86</xm:sqref>
            </x14:sparkline>
            <x14:sparkline>
              <xm:f>'VLOOKUP Professional'!O87:S87</xm:f>
              <xm:sqref>I87</xm:sqref>
            </x14:sparkline>
          </x14:sparklines>
        </x14:sparklineGroup>
        <x14:sparklineGroup manualMax="0" manualMin="0" displayEmptyCellsAs="gap" xr2:uid="{17E717DB-910A-43C5-8DE8-4C157E59352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Professional'!O91:S91</xm:f>
              <xm:sqref>I91</xm:sqref>
            </x14:sparkline>
            <x14:sparkline>
              <xm:f>'VLOOKUP Professional'!O92:S92</xm:f>
              <xm:sqref>I92</xm:sqref>
            </x14:sparkline>
            <x14:sparkline>
              <xm:f>'VLOOKUP Professional'!O93:S93</xm:f>
              <xm:sqref>I93</xm:sqref>
            </x14:sparkline>
          </x14:sparklines>
        </x14:sparklineGroup>
        <x14:sparklineGroup manualMax="0" manualMin="0" displayEmptyCellsAs="gap" xr2:uid="{5CBBC125-BC56-4CB7-B227-B06A83304B6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Professional'!O95:S95</xm:f>
              <xm:sqref>I95</xm:sqref>
            </x14:sparkline>
          </x14:sparklines>
        </x14:sparklineGroup>
        <x14:sparklineGroup manualMax="0" manualMin="0" displayEmptyCellsAs="gap" xr2:uid="{825C1B43-7758-4782-B1DB-FE7341BE274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Professional'!O97:S97</xm:f>
              <xm:sqref>I97</xm:sqref>
            </x14:sparkline>
            <x14:sparkline>
              <xm:f>'VLOOKUP Professional'!O98:S98</xm:f>
              <xm:sqref>I98</xm:sqref>
            </x14:sparkline>
          </x14:sparklines>
        </x14:sparklineGroup>
        <x14:sparklineGroup manualMax="0" manualMin="0" displayEmptyCellsAs="gap" xr2:uid="{E0CF452E-2899-4775-A094-1E05E16D13E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Professional'!O80:S80</xm:f>
              <xm:sqref>I80</xm:sqref>
            </x14:sparkline>
          </x14:sparklines>
        </x14:sparklineGroup>
        <x14:sparklineGroup manualMax="0" manualMin="0" displayEmptyCellsAs="gap" xr2:uid="{E0527023-6B3A-4829-B023-7A3A55852FD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'VLOOKUP Professional'!K149:S149</xm:f>
              <xm:sqref>I149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Welcome</vt:lpstr>
      <vt:lpstr>Enable editing</vt:lpstr>
      <vt:lpstr>VLOOKUP Simple</vt:lpstr>
      <vt:lpstr>Next</vt:lpstr>
      <vt:lpstr>Ideas</vt:lpstr>
      <vt:lpstr>Extract info</vt:lpstr>
      <vt:lpstr>Ammortization</vt:lpstr>
      <vt:lpstr>VLOOKUP Professional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Mechtel</dc:creator>
  <cp:lastModifiedBy>Jan Mechtel</cp:lastModifiedBy>
  <dcterms:created xsi:type="dcterms:W3CDTF">2025-05-27T07:39:12Z</dcterms:created>
  <dcterms:modified xsi:type="dcterms:W3CDTF">2025-06-06T07:18:52Z</dcterms:modified>
</cp:coreProperties>
</file>